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ccess rates to $0 app 1" sheetId="1" r:id="rId1"/>
    <sheet name="2000 rev - app 2" sheetId="2" r:id="rId2"/>
    <sheet name="Revenue Chart-ILECs- app 3" sheetId="3" r:id="rId3"/>
    <sheet name="Revenue Chart - Qwest- app 4" sheetId="4" r:id="rId4"/>
    <sheet name="Qwest calling data - app 5" sheetId="5" r:id="rId5"/>
    <sheet name="access minutes - app 6" sheetId="6" r:id="rId6"/>
    <sheet name="HCSM - app 7" sheetId="7" r:id="rId7"/>
    <sheet name="HCSM - do not print" sheetId="8" r:id="rId8"/>
    <sheet name="Whole Chart - CHCSM - app 8" sheetId="9" r:id="rId9"/>
    <sheet name="Retail Chart-CHCSM - app 9" sheetId="10" r:id="rId10"/>
    <sheet name="Intrastate access rev - app 10" sheetId="11" r:id="rId11"/>
    <sheet name="Rev Chart Calc - do not print" sheetId="12" r:id="rId12"/>
  </sheets>
  <definedNames>
    <definedName name="_xlnm.Print_Area" localSheetId="1">'2000 rev - app 2'!$A$1:$O$42</definedName>
    <definedName name="_xlnm.Print_Titles" localSheetId="5">'access minutes - app 6'!$1:$2</definedName>
  </definedNames>
  <calcPr fullCalcOnLoad="1"/>
</workbook>
</file>

<file path=xl/sharedStrings.xml><?xml version="1.0" encoding="utf-8"?>
<sst xmlns="http://schemas.openxmlformats.org/spreadsheetml/2006/main" count="680" uniqueCount="207">
  <si>
    <t>Agate</t>
  </si>
  <si>
    <t>Big Sandy</t>
  </si>
  <si>
    <t>Bijou</t>
  </si>
  <si>
    <t>Blanca</t>
  </si>
  <si>
    <t>CT - Colo</t>
  </si>
  <si>
    <t>CT - Eagle</t>
  </si>
  <si>
    <t>Columbine</t>
  </si>
  <si>
    <t>Delta</t>
  </si>
  <si>
    <t>Eastern Slope</t>
  </si>
  <si>
    <t>El Paso</t>
  </si>
  <si>
    <t>Farmers</t>
  </si>
  <si>
    <t>Great Plains</t>
  </si>
  <si>
    <t>Nucla</t>
  </si>
  <si>
    <t>Nunn</t>
  </si>
  <si>
    <t>Peetz</t>
  </si>
  <si>
    <t>Phillips</t>
  </si>
  <si>
    <t>Pine Drive</t>
  </si>
  <si>
    <t>Plains</t>
  </si>
  <si>
    <t>Roggen</t>
  </si>
  <si>
    <t>South Park</t>
  </si>
  <si>
    <t>Stoneham</t>
  </si>
  <si>
    <t>Strasburg</t>
  </si>
  <si>
    <t>Sunflower</t>
  </si>
  <si>
    <t>Wiggins</t>
  </si>
  <si>
    <t>Willard</t>
  </si>
  <si>
    <t>Haxtun</t>
  </si>
  <si>
    <t>Rico</t>
  </si>
  <si>
    <t>Rye</t>
  </si>
  <si>
    <t>Interstate Acc</t>
  </si>
  <si>
    <t>Intrastate Acc</t>
  </si>
  <si>
    <t>Total</t>
  </si>
  <si>
    <t xml:space="preserve"> </t>
  </si>
  <si>
    <t>Access</t>
  </si>
  <si>
    <t>Interstate</t>
  </si>
  <si>
    <t>Intrastate</t>
  </si>
  <si>
    <t xml:space="preserve">as % of Total </t>
  </si>
  <si>
    <t>Revenue</t>
  </si>
  <si>
    <t>as % of Total</t>
  </si>
  <si>
    <t>Business</t>
  </si>
  <si>
    <t>AL</t>
  </si>
  <si>
    <t>Residential</t>
  </si>
  <si>
    <t>Local Rate</t>
  </si>
  <si>
    <t>Increase/AL</t>
  </si>
  <si>
    <t>(Per month)</t>
  </si>
  <si>
    <t>if Intrastate = 0</t>
  </si>
  <si>
    <t>if Interstate = 0</t>
  </si>
  <si>
    <t>2000 HCSM Contributions at 3.1% surcharge</t>
  </si>
  <si>
    <t>Term Min</t>
  </si>
  <si>
    <t>Orig Min</t>
  </si>
  <si>
    <t>Interstate, interLATA</t>
  </si>
  <si>
    <t>Interstate, intraLATA</t>
  </si>
  <si>
    <t>Intrastate, intraLATA</t>
  </si>
  <si>
    <t>Intrastate, interLATA</t>
  </si>
  <si>
    <t>2000 Access Minutes</t>
  </si>
  <si>
    <t xml:space="preserve">Total </t>
  </si>
  <si>
    <t>CenturyTel of Colorado</t>
  </si>
  <si>
    <t>CenturyTel of Eagle</t>
  </si>
  <si>
    <t>Qwest</t>
  </si>
  <si>
    <t>1999 Access Minutes</t>
  </si>
  <si>
    <t>Local Calls</t>
  </si>
  <si>
    <t>IntraLATA Toll Calls (Orig)</t>
  </si>
  <si>
    <t>InterLATA Toll Calls (Orig)</t>
  </si>
  <si>
    <t>Orig &amp; Term Minutes</t>
  </si>
  <si>
    <t>Total Calls</t>
  </si>
  <si>
    <t>Calling Info</t>
  </si>
  <si>
    <t>% of Calls</t>
  </si>
  <si>
    <t>Operating Rev*</t>
  </si>
  <si>
    <t>(5080-5084)</t>
  </si>
  <si>
    <t>Revenue from</t>
  </si>
  <si>
    <t>Local Exchange</t>
  </si>
  <si>
    <t>Basic Local</t>
  </si>
  <si>
    <t>Local Network</t>
  </si>
  <si>
    <t>Services</t>
  </si>
  <si>
    <t>(5000-5009)</t>
  </si>
  <si>
    <t>(5010-5069)</t>
  </si>
  <si>
    <t>Arizona</t>
  </si>
  <si>
    <t>Colorado</t>
  </si>
  <si>
    <t>Idaho</t>
  </si>
  <si>
    <t>Iowa</t>
  </si>
  <si>
    <t>Minnesota</t>
  </si>
  <si>
    <t>Montana</t>
  </si>
  <si>
    <t>Nebraska</t>
  </si>
  <si>
    <t>New Mexico</t>
  </si>
  <si>
    <t>North Dakota</t>
  </si>
  <si>
    <t>Oregon</t>
  </si>
  <si>
    <t>South Dakota</t>
  </si>
  <si>
    <t>Utah</t>
  </si>
  <si>
    <t>Washington</t>
  </si>
  <si>
    <t>Wyoming</t>
  </si>
  <si>
    <t>Switched</t>
  </si>
  <si>
    <t>Access Lines</t>
  </si>
  <si>
    <t>InterLATA</t>
  </si>
  <si>
    <t>IntraLATA</t>
  </si>
  <si>
    <t>Local Calls/</t>
  </si>
  <si>
    <t>Switched AL</t>
  </si>
  <si>
    <t xml:space="preserve">Toll calls </t>
  </si>
  <si>
    <t>Toll calls</t>
  </si>
  <si>
    <t>(2000)</t>
  </si>
  <si>
    <t>Mobile Wireless</t>
  </si>
  <si>
    <t>per month</t>
  </si>
  <si>
    <t>USF</t>
  </si>
  <si>
    <t>Support</t>
  </si>
  <si>
    <t>HCSM</t>
  </si>
  <si>
    <t>Expected</t>
  </si>
  <si>
    <t>(AL * Rate)</t>
  </si>
  <si>
    <t>Total Local &amp;</t>
  </si>
  <si>
    <t>Access Revenue</t>
  </si>
  <si>
    <t>Miscellaneous</t>
  </si>
  <si>
    <t>Non-Regulated</t>
  </si>
  <si>
    <t xml:space="preserve">Revenue </t>
  </si>
  <si>
    <t>(5280)</t>
  </si>
  <si>
    <t>(5200-5270)</t>
  </si>
  <si>
    <t>Company</t>
  </si>
  <si>
    <t>CLECs</t>
  </si>
  <si>
    <t>% Change</t>
  </si>
  <si>
    <t>Interstate Access Revenue</t>
  </si>
  <si>
    <t>Intrastate Access Revenue</t>
  </si>
  <si>
    <t>Interstate Revenue per MOU</t>
  </si>
  <si>
    <t>Intrastate Revenue per MOU</t>
  </si>
  <si>
    <t>Small ILECs</t>
  </si>
  <si>
    <t>Retail Revenue</t>
  </si>
  <si>
    <t>% of Rev</t>
  </si>
  <si>
    <t>Total Intrastate Wholesale Revenue from HCSM filings</t>
  </si>
  <si>
    <t>Total Intrastate Retail Revenue from HCSM filings</t>
  </si>
  <si>
    <t>Wholesale Revenue</t>
  </si>
  <si>
    <t xml:space="preserve">Small ILEC </t>
  </si>
  <si>
    <t>(C+E)</t>
  </si>
  <si>
    <t>(H+I)</t>
  </si>
  <si>
    <t>Oper Revenue</t>
  </si>
  <si>
    <t>Increase/AL if</t>
  </si>
  <si>
    <t>All Access = 0</t>
  </si>
  <si>
    <t xml:space="preserve">Increase/AL </t>
  </si>
  <si>
    <t>Total Increase</t>
  </si>
  <si>
    <t>in HCSM if all</t>
  </si>
  <si>
    <t>Access = 0</t>
  </si>
  <si>
    <t>Intrastate access revenues for small ILECs</t>
  </si>
  <si>
    <t>Surcharge to replace lost intrastate access</t>
  </si>
  <si>
    <t>Long Dist</t>
  </si>
  <si>
    <t>(5100-5169)</t>
  </si>
  <si>
    <t>Operating Rev</t>
  </si>
  <si>
    <t>Total Regulated</t>
  </si>
  <si>
    <t>Network Svcs</t>
  </si>
  <si>
    <t>Intrastate Access</t>
  </si>
  <si>
    <t>Interstate Access</t>
  </si>
  <si>
    <t>Long Distance</t>
  </si>
  <si>
    <t>% change</t>
  </si>
  <si>
    <t>1998 v 2000</t>
  </si>
  <si>
    <t>2000 Total</t>
  </si>
  <si>
    <t>Intrastate Min</t>
  </si>
  <si>
    <t>Rev / Min</t>
  </si>
  <si>
    <t>Year End</t>
  </si>
  <si>
    <t>(B + C+ H + I)</t>
  </si>
  <si>
    <t>Small ILECs (Total)</t>
  </si>
  <si>
    <t>High Cost Impact</t>
  </si>
  <si>
    <t>2000 Total HCSM Distributions</t>
  </si>
  <si>
    <t xml:space="preserve">Intrastate access revenues for Qwest </t>
  </si>
  <si>
    <r>
      <t>Surcharge to replace</t>
    </r>
    <r>
      <rPr>
        <sz val="10"/>
        <rFont val="Arial"/>
        <family val="2"/>
      </rPr>
      <t xml:space="preserve"> all</t>
    </r>
    <r>
      <rPr>
        <sz val="10"/>
        <rFont val="Arial"/>
        <family val="0"/>
      </rPr>
      <t xml:space="preserve"> lost access revenues</t>
    </r>
  </si>
  <si>
    <t>Estimated Total HCSM Distribution if intrastate access = $0</t>
  </si>
  <si>
    <t>Estimated Total HCSM Distribution if all access = $0</t>
  </si>
  <si>
    <t xml:space="preserve">Small ILECs </t>
  </si>
  <si>
    <t>Fixed Local Service - monthly svc, connection, vertical features - 46.90%</t>
  </si>
  <si>
    <t>Tariffed Subscriber Line Charges and PICC charges  to end users - 0.03%</t>
  </si>
  <si>
    <t>Local Private Line and Special Access - 1.66%</t>
  </si>
  <si>
    <t>Pay Telephone Coin Revenues - 0.72%</t>
  </si>
  <si>
    <t>Other Local telecommunications service revenues - 0.02%</t>
  </si>
  <si>
    <t>Mobile - monthly and activation charges - 15.27%</t>
  </si>
  <si>
    <t>Mobile - message charges including roaming, but excluding toll - 20.11%</t>
  </si>
  <si>
    <t>Toll - prepaid calling charges - 0.09%</t>
  </si>
  <si>
    <t>Toll - operator and toll with alternative billing arrangements - 0.90%</t>
  </si>
  <si>
    <t>Toll - other switched toll (includes MTS, toll free 800) - 11.58%</t>
  </si>
  <si>
    <t>Toll - all other long distance - 0.53%</t>
  </si>
  <si>
    <t>Miscellaneous (including directory revenue) - 0.86%</t>
  </si>
  <si>
    <t>Fixed Local Service - provided as UNEs - 1.99%</t>
  </si>
  <si>
    <t>Fixed Local Service - provided under tariffs - 26.54%</t>
  </si>
  <si>
    <t>Per minute charges for orig and term - under access tariffs - 3.94%</t>
  </si>
  <si>
    <t>Per minute charges for orig and term - as UNEs or contracts - 23.86%</t>
  </si>
  <si>
    <t>Local Private Line and Special Access - 3.29%</t>
  </si>
  <si>
    <t>Pay Telephone compensation from toll contributors - 1.97%</t>
  </si>
  <si>
    <t>Other Local telecommunications service revenues - 1.62%</t>
  </si>
  <si>
    <t>Universal service support revenues - 19.48%</t>
  </si>
  <si>
    <t>Mobile - monthly, activation, and message charges except toll - 10.01%</t>
  </si>
  <si>
    <t>Toll - operator and toll with alternative billing arrangements - 0.06%</t>
  </si>
  <si>
    <t>Toll - other switched toll (includes MTS, toll free 800) - 5.90%</t>
  </si>
  <si>
    <t>Toll - all other long distance - 0.13%</t>
  </si>
  <si>
    <t>Description of Revenue Source</t>
  </si>
  <si>
    <t>Fixed Local Service - monthly svc, connection, vertical features</t>
  </si>
  <si>
    <t>Tariffed Subscriber Line Charges and PICC charges  to end users</t>
  </si>
  <si>
    <t>Local Private Line and Special Access</t>
  </si>
  <si>
    <t>Pay Telephone Coin Revenues</t>
  </si>
  <si>
    <t>Other Local telecommunications service revenues</t>
  </si>
  <si>
    <t>Mobile - monthly and activation charges</t>
  </si>
  <si>
    <t>Mobile - message charges including roaming, but excluding toll</t>
  </si>
  <si>
    <t>Toll - prepaid calling charges</t>
  </si>
  <si>
    <t>Toll - operator and toll with alternative billing arrangements</t>
  </si>
  <si>
    <t>Toll - other switched toll (includes MTS, toll free 800)</t>
  </si>
  <si>
    <t>Toll - all other long distance</t>
  </si>
  <si>
    <t>Miscellaneous (including directory revenue)</t>
  </si>
  <si>
    <t>Fixed Local Service - provided as UNEs</t>
  </si>
  <si>
    <t>Fixed Local Service - provided under tariffs</t>
  </si>
  <si>
    <t>Per minute charges for orig and term - under access tariffs</t>
  </si>
  <si>
    <t>Per minute charges for orig and term - as UNEs or contracts</t>
  </si>
  <si>
    <t>Pay Telephone compensation from toll contributors</t>
  </si>
  <si>
    <t>Universal service support revenues</t>
  </si>
  <si>
    <t>Mobile - monthly, activation, and message charges except toll</t>
  </si>
  <si>
    <t>Toll - ordinary long distance</t>
  </si>
  <si>
    <t>Toll - ordinary long distance - 1.32%</t>
  </si>
  <si>
    <t>Toll - ordinary long distance - 1.20%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</si>
</sst>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00_);_(* \(#,##0.0000\);_(* &quot;-&quot;??_);_(@_)"/>
    <numFmt numFmtId="180" formatCode="_(&quot;$&quot;* #,##0.0000_);_(&quot;$&quot;* \(#,##0.00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(* #,##0.000_);_(* \(#,##0.000\);_(* &quot;-&quot;???_);_(@_)"/>
    <numFmt numFmtId="185" formatCode="#,##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9.75"/>
      <name val="Arial"/>
      <family val="0"/>
    </font>
    <font>
      <sz val="8"/>
      <name val="Arial"/>
      <family val="2"/>
    </font>
    <font>
      <sz val="10.5"/>
      <name val="Arial"/>
      <family val="0"/>
    </font>
    <font>
      <sz val="8"/>
      <color indexed="9"/>
      <name val="Arial"/>
      <family val="2"/>
    </font>
    <font>
      <sz val="7.5"/>
      <color indexed="9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10" fontId="1" fillId="0" borderId="0" xfId="21" applyNumberFormat="1" applyFont="1" applyAlignment="1">
      <alignment/>
    </xf>
    <xf numFmtId="170" fontId="0" fillId="0" borderId="0" xfId="15" applyNumberForma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10" fontId="0" fillId="0" borderId="0" xfId="21" applyNumberFormat="1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166" fontId="0" fillId="0" borderId="0" xfId="17" applyNumberFormat="1" applyAlignment="1">
      <alignment/>
    </xf>
    <xf numFmtId="0" fontId="0" fillId="0" borderId="0" xfId="0" applyAlignment="1">
      <alignment horizontal="right"/>
    </xf>
    <xf numFmtId="170" fontId="1" fillId="0" borderId="0" xfId="15" applyNumberFormat="1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70" fontId="0" fillId="2" borderId="0" xfId="15" applyNumberFormat="1" applyFill="1" applyAlignment="1">
      <alignment/>
    </xf>
    <xf numFmtId="170" fontId="1" fillId="2" borderId="0" xfId="15" applyNumberFormat="1" applyFont="1" applyFill="1" applyAlignment="1">
      <alignment/>
    </xf>
    <xf numFmtId="178" fontId="0" fillId="0" borderId="0" xfId="17" applyNumberFormat="1" applyFont="1" applyAlignment="1">
      <alignment/>
    </xf>
    <xf numFmtId="170" fontId="0" fillId="0" borderId="0" xfId="15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70" fontId="0" fillId="0" borderId="0" xfId="15" applyNumberFormat="1" applyAlignment="1">
      <alignment horizontal="center"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49" fontId="0" fillId="0" borderId="0" xfId="0" applyNumberFormat="1" applyAlignment="1" quotePrefix="1">
      <alignment horizontal="center"/>
    </xf>
    <xf numFmtId="170" fontId="0" fillId="3" borderId="0" xfId="15" applyNumberFormat="1" applyFill="1" applyAlignment="1">
      <alignment/>
    </xf>
    <xf numFmtId="170" fontId="1" fillId="3" borderId="0" xfId="15" applyNumberFormat="1" applyFont="1" applyFill="1" applyAlignment="1">
      <alignment/>
    </xf>
    <xf numFmtId="178" fontId="0" fillId="0" borderId="0" xfId="17" applyNumberFormat="1" applyAlignment="1">
      <alignment/>
    </xf>
    <xf numFmtId="180" fontId="0" fillId="0" borderId="0" xfId="17" applyNumberFormat="1" applyAlignment="1">
      <alignment/>
    </xf>
    <xf numFmtId="170" fontId="0" fillId="0" borderId="0" xfId="15" applyNumberFormat="1" applyFont="1" applyAlignment="1">
      <alignment/>
    </xf>
    <xf numFmtId="178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21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15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0" xfId="15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'Rev Chart Calc - do not print'!$A$42:$A$47</c:f>
              <c:strCache>
                <c:ptCount val="6"/>
                <c:pt idx="0">
                  <c:v>Basic Local</c:v>
                </c:pt>
                <c:pt idx="1">
                  <c:v>Network Svcs</c:v>
                </c:pt>
                <c:pt idx="2">
                  <c:v>Intrastate Access</c:v>
                </c:pt>
                <c:pt idx="3">
                  <c:v>Interstate Access</c:v>
                </c:pt>
                <c:pt idx="4">
                  <c:v>Long Distance</c:v>
                </c:pt>
                <c:pt idx="5">
                  <c:v>Miscellaneous</c:v>
                </c:pt>
              </c:strCache>
            </c:strRef>
          </c:cat>
          <c:val>
            <c:numRef>
              <c:f>'Rev Chart Calc - do not print'!$B$42:$B$47</c:f>
              <c:numCache>
                <c:ptCount val="6"/>
                <c:pt idx="0">
                  <c:v>0.23202312853604232</c:v>
                </c:pt>
                <c:pt idx="1">
                  <c:v>0.10158775410055054</c:v>
                </c:pt>
                <c:pt idx="2">
                  <c:v>0.11007371656008413</c:v>
                </c:pt>
                <c:pt idx="3">
                  <c:v>0.5153850904422161</c:v>
                </c:pt>
                <c:pt idx="4">
                  <c:v>0.005403629580330517</c:v>
                </c:pt>
                <c:pt idx="5">
                  <c:v>0.04297373800475747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'Rev Chart Calc - do not print'!$A$53:$A$58</c:f>
              <c:strCache>
                <c:ptCount val="6"/>
                <c:pt idx="0">
                  <c:v>Basic Local</c:v>
                </c:pt>
                <c:pt idx="1">
                  <c:v>Network Svcs</c:v>
                </c:pt>
                <c:pt idx="2">
                  <c:v>Intrastate Access</c:v>
                </c:pt>
                <c:pt idx="3">
                  <c:v>Interstate Access</c:v>
                </c:pt>
                <c:pt idx="4">
                  <c:v>Long Distance</c:v>
                </c:pt>
                <c:pt idx="5">
                  <c:v>Miscellaneous</c:v>
                </c:pt>
              </c:strCache>
            </c:strRef>
          </c:cat>
          <c:val>
            <c:numRef>
              <c:f>'Rev Chart Calc - do not print'!$B$53:$B$58</c:f>
              <c:numCache>
                <c:ptCount val="6"/>
                <c:pt idx="0">
                  <c:v>0.388449312576322</c:v>
                </c:pt>
                <c:pt idx="1">
                  <c:v>0.12806964085163414</c:v>
                </c:pt>
                <c:pt idx="2">
                  <c:v>0.04509652425278841</c:v>
                </c:pt>
                <c:pt idx="3">
                  <c:v>0.27071089204143306</c:v>
                </c:pt>
                <c:pt idx="4">
                  <c:v>0.021033344328172388</c:v>
                </c:pt>
                <c:pt idx="5">
                  <c:v>0.14664028642073695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19125"/>
          <c:w val="0.51425"/>
          <c:h val="0.61175"/>
        </c:manualLayout>
      </c:layout>
      <c:pieChart>
        <c:varyColors val="1"/>
        <c:ser>
          <c:idx val="0"/>
          <c:order val="0"/>
          <c:tx>
            <c:strRef>
              <c:f>'HCSM - do not print'!$B$20</c:f>
              <c:strCache>
                <c:ptCount val="1"/>
                <c:pt idx="0">
                  <c:v>Wholesale Revenue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7"/>
          </c:dPt>
          <c:dPt>
            <c:idx val="10"/>
          </c:dPt>
          <c:dPt>
            <c:idx val="1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'HCSM - do not print'!$A$21:$A$33</c:f>
              <c:strCache>
                <c:ptCount val="13"/>
                <c:pt idx="0">
                  <c:v>Fixed Local Service - provided as UNEs - 1.99%</c:v>
                </c:pt>
                <c:pt idx="1">
                  <c:v>Fixed Local Service - provided under tariffs - 26.54%</c:v>
                </c:pt>
                <c:pt idx="2">
                  <c:v>Per minute charges for orig and term - under access tariffs - 3.94%</c:v>
                </c:pt>
                <c:pt idx="3">
                  <c:v>Per minute charges for orig and term - as UNEs or contracts - 23.86%</c:v>
                </c:pt>
                <c:pt idx="4">
                  <c:v>Local Private Line and Special Access - 3.29%</c:v>
                </c:pt>
                <c:pt idx="5">
                  <c:v>Pay Telephone compensation from toll contributors - 1.97%</c:v>
                </c:pt>
                <c:pt idx="6">
                  <c:v>Other Local telecommunications service revenues - 1.62%</c:v>
                </c:pt>
                <c:pt idx="7">
                  <c:v>Universal service support revenues - 19.48%</c:v>
                </c:pt>
                <c:pt idx="8">
                  <c:v>Mobile - monthly, activation, and message charges except toll - 10.01%</c:v>
                </c:pt>
                <c:pt idx="9">
                  <c:v>Toll - operator and toll with alternative billing arrangements - 0.06%</c:v>
                </c:pt>
                <c:pt idx="10">
                  <c:v>Toll - other switched toll (includes MTS, toll free 800) - 5.90%</c:v>
                </c:pt>
                <c:pt idx="11">
                  <c:v>Toll - ordinary long distance - 1.20%</c:v>
                </c:pt>
                <c:pt idx="12">
                  <c:v>Toll - all other long distance - 0.13%</c:v>
                </c:pt>
              </c:strCache>
            </c:strRef>
          </c:cat>
          <c:val>
            <c:numRef>
              <c:f>'HCSM - do not print'!$B$21:$B$33</c:f>
              <c:numCache>
                <c:ptCount val="13"/>
                <c:pt idx="0">
                  <c:v>6478101</c:v>
                </c:pt>
                <c:pt idx="1">
                  <c:v>86512262</c:v>
                </c:pt>
                <c:pt idx="2">
                  <c:v>12842857</c:v>
                </c:pt>
                <c:pt idx="3">
                  <c:v>77789076</c:v>
                </c:pt>
                <c:pt idx="4">
                  <c:v>10735922</c:v>
                </c:pt>
                <c:pt idx="5">
                  <c:v>6424495</c:v>
                </c:pt>
                <c:pt idx="6">
                  <c:v>5289740</c:v>
                </c:pt>
                <c:pt idx="7">
                  <c:v>63485463</c:v>
                </c:pt>
                <c:pt idx="8">
                  <c:v>32626677</c:v>
                </c:pt>
                <c:pt idx="9">
                  <c:v>203026</c:v>
                </c:pt>
                <c:pt idx="10">
                  <c:v>19220669</c:v>
                </c:pt>
                <c:pt idx="11">
                  <c:v>3925549</c:v>
                </c:pt>
                <c:pt idx="12">
                  <c:v>431274</c:v>
                </c:pt>
              </c:numCache>
            </c:numRef>
          </c:val>
        </c:ser>
        <c:ser>
          <c:idx val="1"/>
          <c:order val="1"/>
          <c:tx>
            <c:strRef>
              <c:f>'HCSM - do not print'!$C$20</c:f>
              <c:strCache>
                <c:ptCount val="1"/>
                <c:pt idx="0">
                  <c:v>% of Rev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'HCSM - do not print'!$A$21:$A$33</c:f>
              <c:strCache>
                <c:ptCount val="13"/>
                <c:pt idx="0">
                  <c:v>Fixed Local Service - provided as UNEs - 1.99%</c:v>
                </c:pt>
                <c:pt idx="1">
                  <c:v>Fixed Local Service - provided under tariffs - 26.54%</c:v>
                </c:pt>
                <c:pt idx="2">
                  <c:v>Per minute charges for orig and term - under access tariffs - 3.94%</c:v>
                </c:pt>
                <c:pt idx="3">
                  <c:v>Per minute charges for orig and term - as UNEs or contracts - 23.86%</c:v>
                </c:pt>
                <c:pt idx="4">
                  <c:v>Local Private Line and Special Access - 3.29%</c:v>
                </c:pt>
                <c:pt idx="5">
                  <c:v>Pay Telephone compensation from toll contributors - 1.97%</c:v>
                </c:pt>
                <c:pt idx="6">
                  <c:v>Other Local telecommunications service revenues - 1.62%</c:v>
                </c:pt>
                <c:pt idx="7">
                  <c:v>Universal service support revenues - 19.48%</c:v>
                </c:pt>
                <c:pt idx="8">
                  <c:v>Mobile - monthly, activation, and message charges except toll - 10.01%</c:v>
                </c:pt>
                <c:pt idx="9">
                  <c:v>Toll - operator and toll with alternative billing arrangements - 0.06%</c:v>
                </c:pt>
                <c:pt idx="10">
                  <c:v>Toll - other switched toll (includes MTS, toll free 800) - 5.90%</c:v>
                </c:pt>
                <c:pt idx="11">
                  <c:v>Toll - ordinary long distance - 1.20%</c:v>
                </c:pt>
                <c:pt idx="12">
                  <c:v>Toll - all other long distance - 0.13%</c:v>
                </c:pt>
              </c:strCache>
            </c:strRef>
          </c:cat>
          <c:val>
            <c:numRef>
              <c:f>'HCSM - do not print'!$C$21:$C$33</c:f>
              <c:numCache>
                <c:ptCount val="13"/>
                <c:pt idx="0">
                  <c:v>0.01987360236230926</c:v>
                </c:pt>
                <c:pt idx="1">
                  <c:v>0.26540344067681526</c:v>
                </c:pt>
                <c:pt idx="2">
                  <c:v>0.03939948346189725</c:v>
                </c:pt>
                <c:pt idx="3">
                  <c:v>0.23864233740033608</c:v>
                </c:pt>
                <c:pt idx="4">
                  <c:v>0.03293580091152761</c:v>
                </c:pt>
                <c:pt idx="5">
                  <c:v>0.019709149179465407</c:v>
                </c:pt>
                <c:pt idx="6">
                  <c:v>0.01622793305630798</c:v>
                </c:pt>
                <c:pt idx="7">
                  <c:v>0.1947615277145412</c:v>
                </c:pt>
                <c:pt idx="8">
                  <c:v>0.1000925433397073</c:v>
                </c:pt>
                <c:pt idx="9">
                  <c:v>0.0006228457989787748</c:v>
                </c:pt>
                <c:pt idx="10">
                  <c:v>0.05896541792781007</c:v>
                </c:pt>
                <c:pt idx="11">
                  <c:v>0.012042850193252738</c:v>
                </c:pt>
                <c:pt idx="12">
                  <c:v>0.0013230679770510777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16575"/>
          <c:w val="0.47825"/>
          <c:h val="0.69375"/>
        </c:manualLayout>
      </c:layout>
      <c:pieChart>
        <c:varyColors val="1"/>
        <c:ser>
          <c:idx val="0"/>
          <c:order val="0"/>
          <c:tx>
            <c:strRef>
              <c:f>'HCSM - do not print'!$B$1:$B$2</c:f>
              <c:strCache>
                <c:ptCount val="1"/>
                <c:pt idx="0">
                  <c:v>Retail Revenue</c:v>
                </c:pt>
              </c:strCache>
            </c:strRef>
          </c:tx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'HCSM - do not print'!$A$3:$A$15</c:f>
              <c:strCache>
                <c:ptCount val="13"/>
                <c:pt idx="0">
                  <c:v>Fixed Local Service - monthly svc, connection, vertical features - 46.90%</c:v>
                </c:pt>
                <c:pt idx="1">
                  <c:v>Tariffed Subscriber Line Charges and PICC charges  to end users - 0.03%</c:v>
                </c:pt>
                <c:pt idx="2">
                  <c:v>Local Private Line and Special Access - 1.66%</c:v>
                </c:pt>
                <c:pt idx="3">
                  <c:v>Pay Telephone Coin Revenues - 0.72%</c:v>
                </c:pt>
                <c:pt idx="4">
                  <c:v>Other Local telecommunications service revenues - 0.02%</c:v>
                </c:pt>
                <c:pt idx="5">
                  <c:v>Mobile - monthly and activation charges - 15.27%</c:v>
                </c:pt>
                <c:pt idx="6">
                  <c:v>Mobile - message charges including roaming, but excluding toll - 20.11%</c:v>
                </c:pt>
                <c:pt idx="7">
                  <c:v>Toll - prepaid calling charges - 0.09%</c:v>
                </c:pt>
                <c:pt idx="8">
                  <c:v>Toll - operator and toll with alternative billing arrangements - 0.90%</c:v>
                </c:pt>
                <c:pt idx="9">
                  <c:v>Toll - other switched toll (includes MTS, toll free 800) - 11.58%</c:v>
                </c:pt>
                <c:pt idx="10">
                  <c:v>Toll - ordinary long distance - 1.32%</c:v>
                </c:pt>
                <c:pt idx="11">
                  <c:v>Toll - all other long distance - 0.53%</c:v>
                </c:pt>
                <c:pt idx="12">
                  <c:v>Miscellaneous (including directory revenue) - 0.86%</c:v>
                </c:pt>
              </c:strCache>
            </c:strRef>
          </c:cat>
          <c:val>
            <c:numRef>
              <c:f>'HCSM - do not print'!$B$3:$B$15</c:f>
              <c:numCache>
                <c:ptCount val="13"/>
                <c:pt idx="0">
                  <c:v>1066467984</c:v>
                </c:pt>
                <c:pt idx="1">
                  <c:v>756082</c:v>
                </c:pt>
                <c:pt idx="2">
                  <c:v>37777935</c:v>
                </c:pt>
                <c:pt idx="3">
                  <c:v>16259082</c:v>
                </c:pt>
                <c:pt idx="4">
                  <c:v>359447</c:v>
                </c:pt>
                <c:pt idx="5">
                  <c:v>347137516</c:v>
                </c:pt>
                <c:pt idx="6">
                  <c:v>457213058</c:v>
                </c:pt>
                <c:pt idx="7">
                  <c:v>2027243</c:v>
                </c:pt>
                <c:pt idx="8">
                  <c:v>20470393</c:v>
                </c:pt>
                <c:pt idx="9">
                  <c:v>263404074</c:v>
                </c:pt>
                <c:pt idx="10">
                  <c:v>29938394</c:v>
                </c:pt>
                <c:pt idx="11">
                  <c:v>12072287</c:v>
                </c:pt>
                <c:pt idx="12">
                  <c:v>19898301</c:v>
                </c:pt>
              </c:numCache>
            </c:numRef>
          </c:val>
        </c:ser>
        <c:ser>
          <c:idx val="1"/>
          <c:order val="1"/>
          <c:tx>
            <c:strRef>
              <c:f>'HCSM - do not print'!$C$1:$C$2</c:f>
              <c:strCache>
                <c:ptCount val="1"/>
                <c:pt idx="0">
                  <c:v>% of Rev</c:v>
                </c:pt>
              </c:strCache>
            </c:strRef>
          </c:tx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'HCSM - do not print'!$A$3:$A$15</c:f>
              <c:strCache>
                <c:ptCount val="13"/>
                <c:pt idx="0">
                  <c:v>Fixed Local Service - monthly svc, connection, vertical features - 46.90%</c:v>
                </c:pt>
                <c:pt idx="1">
                  <c:v>Tariffed Subscriber Line Charges and PICC charges  to end users - 0.03%</c:v>
                </c:pt>
                <c:pt idx="2">
                  <c:v>Local Private Line and Special Access - 1.66%</c:v>
                </c:pt>
                <c:pt idx="3">
                  <c:v>Pay Telephone Coin Revenues - 0.72%</c:v>
                </c:pt>
                <c:pt idx="4">
                  <c:v>Other Local telecommunications service revenues - 0.02%</c:v>
                </c:pt>
                <c:pt idx="5">
                  <c:v>Mobile - monthly and activation charges - 15.27%</c:v>
                </c:pt>
                <c:pt idx="6">
                  <c:v>Mobile - message charges including roaming, but excluding toll - 20.11%</c:v>
                </c:pt>
                <c:pt idx="7">
                  <c:v>Toll - prepaid calling charges - 0.09%</c:v>
                </c:pt>
                <c:pt idx="8">
                  <c:v>Toll - operator and toll with alternative billing arrangements - 0.90%</c:v>
                </c:pt>
                <c:pt idx="9">
                  <c:v>Toll - other switched toll (includes MTS, toll free 800) - 11.58%</c:v>
                </c:pt>
                <c:pt idx="10">
                  <c:v>Toll - ordinary long distance - 1.32%</c:v>
                </c:pt>
                <c:pt idx="11">
                  <c:v>Toll - all other long distance - 0.53%</c:v>
                </c:pt>
                <c:pt idx="12">
                  <c:v>Miscellaneous (including directory revenue) - 0.86%</c:v>
                </c:pt>
              </c:strCache>
            </c:strRef>
          </c:cat>
          <c:val>
            <c:numRef>
              <c:f>'HCSM - do not print'!$C$3:$C$15</c:f>
              <c:numCache>
                <c:ptCount val="13"/>
                <c:pt idx="0">
                  <c:v>0.469028288411893</c:v>
                </c:pt>
                <c:pt idx="1">
                  <c:v>0.0003325217931333988</c:v>
                </c:pt>
                <c:pt idx="2">
                  <c:v>0.016614582395926614</c:v>
                </c:pt>
                <c:pt idx="3">
                  <c:v>0.007150678235089538</c:v>
                </c:pt>
                <c:pt idx="4">
                  <c:v>0.00015808333087736622</c:v>
                </c:pt>
                <c:pt idx="5">
                  <c:v>0.15266966980326727</c:v>
                </c:pt>
                <c:pt idx="6">
                  <c:v>0.201080446155529</c:v>
                </c:pt>
                <c:pt idx="7">
                  <c:v>0.0008915732387189892</c:v>
                </c:pt>
                <c:pt idx="8">
                  <c:v>0.00900279571065754</c:v>
                </c:pt>
                <c:pt idx="9">
                  <c:v>0.11584404205512427</c:v>
                </c:pt>
                <c:pt idx="10">
                  <c:v>0.013166784100685095</c:v>
                </c:pt>
                <c:pt idx="11">
                  <c:v>0.005309342796761488</c:v>
                </c:pt>
                <c:pt idx="12">
                  <c:v>0.00875119197233647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1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.31" bottom="1" header="0.42" footer="0.5"/>
  <pageSetup horizontalDpi="600" verticalDpi="600" orientation="landscape"/>
  <headerFooter>
    <oddHeader>&amp;C&amp;"Arial,Bold"&amp;16APPENDIX 3:  SMALL ILEC REVENUES AS A PERCENTAGE OF 2000 
TOTAL REGULATED REVENUES&amp;RPage 1 of 1</oddHeader>
    <oddFooter>&amp;LSource:  2000 Annual Reports filed with the Colorado PUC.  The above numbers were not audited by the PUC.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.26" bottom="1" header="0.34" footer="0.5"/>
  <pageSetup horizontalDpi="600" verticalDpi="600" orientation="landscape"/>
  <headerFooter>
    <oddHeader>&amp;C&amp;"Arial,Bold"&amp;16APPENDIX 4:  QWEST REVENUES AS PERCENTAGE OF 2000
 TOTAL REGULATED REVENUES&amp;RPage 1 of 1</oddHeader>
    <oddFooter>&amp;LSource:  2000 Annual Report filed with Colorado PUC by Qwest Corporation.  The above numbers were not audited by the PUC.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0.25" bottom="0.25" header="0.5" footer="0.5"/>
  <pageSetup horizontalDpi="600" verticalDpi="600" orientation="landscape"/>
  <headerFooter>
    <oddHeader>&amp;C&amp;"Arial,Bold"&amp;16APPENDIX 8:   2000 CHCSM WHOLESALE REVENUE SOURCES&amp;RPage 1 of 1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Header>&amp;C&amp;"Arial,Bold"&amp;16APPENDIX 9:   2000 CHCSM RETAIL REVENUES BY SOURCE&amp;RPage 1 of 1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48325"/>
    <xdr:graphicFrame>
      <xdr:nvGraphicFramePr>
        <xdr:cNvPr id="1" name="Shape 1025"/>
        <xdr:cNvGraphicFramePr/>
      </xdr:nvGraphicFramePr>
      <xdr:xfrm>
        <a:off x="0" y="0"/>
        <a:ext cx="8677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Shape 1025"/>
        <xdr:cNvGraphicFramePr/>
      </xdr:nvGraphicFramePr>
      <xdr:xfrm>
        <a:off x="0" y="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0.54375</cdr:y>
    </cdr:from>
    <cdr:to>
      <cdr:x>0.1985</cdr:x>
      <cdr:y>0.605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3971925"/>
          <a:ext cx="8382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Universal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Service</a:t>
          </a:r>
        </a:p>
      </cdr:txBody>
    </cdr:sp>
  </cdr:relSizeAnchor>
  <cdr:relSizeAnchor xmlns:cdr="http://schemas.openxmlformats.org/drawingml/2006/chartDrawing">
    <cdr:from>
      <cdr:x>0.33575</cdr:x>
      <cdr:y>0.7225</cdr:y>
    </cdr:from>
    <cdr:to>
      <cdr:x>0.46325</cdr:x>
      <cdr:y>0.755</cdr:y>
    </cdr:to>
    <cdr:sp>
      <cdr:nvSpPr>
        <cdr:cNvPr id="2" name="TextBox 2"/>
        <cdr:cNvSpPr txBox="1">
          <a:spLocks noChangeArrowheads="1"/>
        </cdr:cNvSpPr>
      </cdr:nvSpPr>
      <cdr:spPr>
        <a:xfrm>
          <a:off x="2905125" y="5276850"/>
          <a:ext cx="1104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 minute charge</a:t>
          </a:r>
        </a:p>
      </cdr:txBody>
    </cdr:sp>
  </cdr:relSizeAnchor>
  <cdr:relSizeAnchor xmlns:cdr="http://schemas.openxmlformats.org/drawingml/2006/chartDrawing">
    <cdr:from>
      <cdr:x>0.405</cdr:x>
      <cdr:y>0.40525</cdr:y>
    </cdr:from>
    <cdr:to>
      <cdr:x>0.54025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3505200" y="2952750"/>
          <a:ext cx="1171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Fixed Local Service</a:t>
          </a:r>
        </a:p>
      </cdr:txBody>
    </cdr:sp>
  </cdr:relSizeAnchor>
  <cdr:relSizeAnchor xmlns:cdr="http://schemas.openxmlformats.org/drawingml/2006/chartDrawing">
    <cdr:from>
      <cdr:x>0.15525</cdr:x>
      <cdr:y>0.32825</cdr:y>
    </cdr:from>
    <cdr:to>
      <cdr:x>0.21225</cdr:x>
      <cdr:y>0.35925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2390775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Mobile</a:t>
          </a:r>
        </a:p>
      </cdr:txBody>
    </cdr:sp>
  </cdr:relSizeAnchor>
  <cdr:relSizeAnchor xmlns:cdr="http://schemas.openxmlformats.org/drawingml/2006/chartDrawing">
    <cdr:from>
      <cdr:x>0.32175</cdr:x>
      <cdr:y>0.96575</cdr:y>
    </cdr:from>
    <cdr:to>
      <cdr:x>0.77825</cdr:x>
      <cdr:y>0.99975</cdr:y>
    </cdr:to>
    <cdr:sp>
      <cdr:nvSpPr>
        <cdr:cNvPr id="5" name="TextBox 5"/>
        <cdr:cNvSpPr txBox="1">
          <a:spLocks noChangeArrowheads="1"/>
        </cdr:cNvSpPr>
      </cdr:nvSpPr>
      <cdr:spPr>
        <a:xfrm>
          <a:off x="2790825" y="7048500"/>
          <a:ext cx="3962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Wholesale Revenues based on information for the Calendar Year 2000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7305675"/>
    <xdr:graphicFrame>
      <xdr:nvGraphicFramePr>
        <xdr:cNvPr id="1" name="Shape 1025"/>
        <xdr:cNvGraphicFramePr/>
      </xdr:nvGraphicFramePr>
      <xdr:xfrm>
        <a:off x="0" y="0"/>
        <a:ext cx="86772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0.4605</cdr:y>
    </cdr:from>
    <cdr:to>
      <cdr:x>0.56325</cdr:x>
      <cdr:y>0.50125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2724150"/>
          <a:ext cx="1181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Fixed Local Service</a:t>
          </a:r>
        </a:p>
      </cdr:txBody>
    </cdr:sp>
  </cdr:relSizeAnchor>
  <cdr:relSizeAnchor xmlns:cdr="http://schemas.openxmlformats.org/drawingml/2006/chartDrawing">
    <cdr:from>
      <cdr:x>0.12825</cdr:x>
      <cdr:y>0.51925</cdr:y>
    </cdr:from>
    <cdr:to>
      <cdr:x>0.24875</cdr:x>
      <cdr:y>0.55125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3076575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Mobile-message</a:t>
          </a:r>
        </a:p>
      </cdr:txBody>
    </cdr:sp>
  </cdr:relSizeAnchor>
  <cdr:relSizeAnchor xmlns:cdr="http://schemas.openxmlformats.org/drawingml/2006/chartDrawing">
    <cdr:from>
      <cdr:x>0.19775</cdr:x>
      <cdr:y>0.7155</cdr:y>
    </cdr:from>
    <cdr:to>
      <cdr:x>0.31075</cdr:x>
      <cdr:y>0.7475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0" y="4238625"/>
          <a:ext cx="981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Mobile-monthly</a:t>
          </a:r>
        </a:p>
      </cdr:txBody>
    </cdr:sp>
  </cdr:relSizeAnchor>
  <cdr:relSizeAnchor xmlns:cdr="http://schemas.openxmlformats.org/drawingml/2006/chartDrawing">
    <cdr:from>
      <cdr:x>0.1855</cdr:x>
      <cdr:y>0.26825</cdr:y>
    </cdr:from>
    <cdr:to>
      <cdr:x>0.32025</cdr:x>
      <cdr:y>0.30025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1590675"/>
          <a:ext cx="1171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Toll-other switched</a:t>
          </a:r>
        </a:p>
      </cdr:txBody>
    </cdr:sp>
  </cdr:relSizeAnchor>
  <cdr:relSizeAnchor xmlns:cdr="http://schemas.openxmlformats.org/drawingml/2006/chartDrawing">
    <cdr:from>
      <cdr:x>0.334</cdr:x>
      <cdr:y>0.968</cdr:y>
    </cdr:from>
    <cdr:to>
      <cdr:x>0.76225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5743575"/>
          <a:ext cx="3714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Retail Revenues based on information for the Calendar Year 2000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6.28125" style="0" customWidth="1"/>
    <col min="2" max="2" width="14.7109375" style="0" customWidth="1"/>
    <col min="3" max="3" width="11.140625" style="0" bestFit="1" customWidth="1"/>
    <col min="4" max="4" width="12.57421875" style="0" bestFit="1" customWidth="1"/>
    <col min="5" max="5" width="12.421875" style="0" customWidth="1"/>
    <col min="6" max="6" width="12.00390625" style="0" customWidth="1"/>
    <col min="7" max="7" width="12.421875" style="0" bestFit="1" customWidth="1"/>
    <col min="8" max="8" width="9.28125" style="0" customWidth="1"/>
    <col min="9" max="9" width="10.28125" style="0" customWidth="1"/>
    <col min="10" max="10" width="10.140625" style="0" customWidth="1"/>
    <col min="11" max="11" width="12.7109375" style="0" customWidth="1"/>
    <col min="12" max="12" width="13.00390625" style="0" customWidth="1"/>
    <col min="13" max="13" width="13.140625" style="0" customWidth="1"/>
    <col min="14" max="14" width="13.8515625" style="0" customWidth="1"/>
  </cols>
  <sheetData>
    <row r="1" spans="2:14" ht="12.75">
      <c r="B1" s="2">
        <v>2000</v>
      </c>
      <c r="C1" s="2" t="s">
        <v>34</v>
      </c>
      <c r="D1" s="2" t="s">
        <v>29</v>
      </c>
      <c r="E1" s="2" t="s">
        <v>33</v>
      </c>
      <c r="F1" s="2" t="s">
        <v>28</v>
      </c>
      <c r="G1" s="2" t="s">
        <v>32</v>
      </c>
      <c r="H1" s="2" t="s">
        <v>38</v>
      </c>
      <c r="I1" s="2" t="s">
        <v>40</v>
      </c>
      <c r="J1" s="2" t="s">
        <v>30</v>
      </c>
      <c r="K1" s="2" t="s">
        <v>41</v>
      </c>
      <c r="L1" s="2" t="s">
        <v>41</v>
      </c>
      <c r="M1" s="2" t="s">
        <v>41</v>
      </c>
      <c r="N1" s="2" t="s">
        <v>132</v>
      </c>
    </row>
    <row r="2" spans="1:14" ht="12.75">
      <c r="A2" t="s">
        <v>112</v>
      </c>
      <c r="B2" s="2" t="s">
        <v>30</v>
      </c>
      <c r="C2" s="2" t="s">
        <v>32</v>
      </c>
      <c r="D2" s="2" t="s">
        <v>35</v>
      </c>
      <c r="E2" s="2" t="s">
        <v>32</v>
      </c>
      <c r="F2" s="2" t="s">
        <v>37</v>
      </c>
      <c r="G2" t="s">
        <v>35</v>
      </c>
      <c r="H2" s="2" t="s">
        <v>39</v>
      </c>
      <c r="I2" s="2" t="s">
        <v>39</v>
      </c>
      <c r="J2" s="2" t="s">
        <v>39</v>
      </c>
      <c r="K2" s="2" t="s">
        <v>129</v>
      </c>
      <c r="L2" s="2" t="s">
        <v>131</v>
      </c>
      <c r="M2" s="2" t="s">
        <v>42</v>
      </c>
      <c r="N2" s="2" t="s">
        <v>133</v>
      </c>
    </row>
    <row r="3" spans="2:14" ht="12.75">
      <c r="B3" s="2" t="s">
        <v>66</v>
      </c>
      <c r="C3" s="2" t="s">
        <v>36</v>
      </c>
      <c r="D3" s="2" t="s">
        <v>128</v>
      </c>
      <c r="E3" s="2" t="s">
        <v>36</v>
      </c>
      <c r="F3" s="2" t="s">
        <v>128</v>
      </c>
      <c r="G3" s="2" t="s">
        <v>36</v>
      </c>
      <c r="H3" s="44">
        <v>36861</v>
      </c>
      <c r="I3" s="44">
        <v>36861</v>
      </c>
      <c r="J3" s="44">
        <v>36861</v>
      </c>
      <c r="K3" t="s">
        <v>130</v>
      </c>
      <c r="L3" t="s">
        <v>44</v>
      </c>
      <c r="M3" t="s">
        <v>45</v>
      </c>
      <c r="N3" s="2" t="s">
        <v>134</v>
      </c>
    </row>
    <row r="4" spans="2:14" ht="12.75">
      <c r="B4" s="2" t="s">
        <v>31</v>
      </c>
      <c r="D4" s="2"/>
      <c r="F4" s="2"/>
      <c r="G4" s="2"/>
      <c r="J4" s="2" t="s">
        <v>127</v>
      </c>
      <c r="K4" s="2" t="s">
        <v>43</v>
      </c>
      <c r="L4" s="2" t="s">
        <v>43</v>
      </c>
      <c r="M4" s="2" t="s">
        <v>43</v>
      </c>
      <c r="N4" s="2" t="s">
        <v>126</v>
      </c>
    </row>
    <row r="5" spans="1:14" ht="12.75">
      <c r="A5" s="43" t="s">
        <v>0</v>
      </c>
      <c r="B5" s="1">
        <v>199136</v>
      </c>
      <c r="C5" s="1">
        <v>43178</v>
      </c>
      <c r="D5" s="3">
        <f>C5/B5</f>
        <v>0.21682669130644383</v>
      </c>
      <c r="E5" s="1">
        <v>91387</v>
      </c>
      <c r="F5" s="3">
        <f>E5/B5</f>
        <v>0.45891752370239436</v>
      </c>
      <c r="G5" s="3">
        <f>(C5+E5)/B5</f>
        <v>0.6757442150088382</v>
      </c>
      <c r="H5" s="6">
        <v>37</v>
      </c>
      <c r="I5" s="6">
        <v>90</v>
      </c>
      <c r="J5" s="6">
        <f>H5+I5</f>
        <v>127</v>
      </c>
      <c r="K5" s="7">
        <f>(N5/J5)/12</f>
        <v>88.29724409448819</v>
      </c>
      <c r="L5" s="7">
        <f>(C5/J5)/12</f>
        <v>28.332020997375327</v>
      </c>
      <c r="M5" s="7">
        <f>(E5/J5)/12</f>
        <v>59.96522309711286</v>
      </c>
      <c r="N5" s="1">
        <f aca="true" t="shared" si="0" ref="N5:N17">C5+E5</f>
        <v>134565</v>
      </c>
    </row>
    <row r="6" spans="1:14" ht="12.75">
      <c r="A6" s="43" t="s">
        <v>1</v>
      </c>
      <c r="B6" s="1">
        <f>1063061-36098</f>
        <v>1026963</v>
      </c>
      <c r="C6" s="1">
        <v>183715</v>
      </c>
      <c r="D6" s="3">
        <f aca="true" t="shared" si="1" ref="D6:D34">C6/B6</f>
        <v>0.1788915472125091</v>
      </c>
      <c r="E6" s="1">
        <v>289934</v>
      </c>
      <c r="F6" s="3">
        <f aca="true" t="shared" si="2" ref="F6:F34">E6/B6</f>
        <v>0.28232175842751883</v>
      </c>
      <c r="G6" s="3">
        <f aca="true" t="shared" si="3" ref="G6:G34">(C6+E6)/B6</f>
        <v>0.46121330564002794</v>
      </c>
      <c r="H6" s="6">
        <v>148</v>
      </c>
      <c r="I6" s="6">
        <v>939</v>
      </c>
      <c r="J6" s="6">
        <f aca="true" t="shared" si="4" ref="J6:J34">H6+I6</f>
        <v>1087</v>
      </c>
      <c r="K6" s="7">
        <f aca="true" t="shared" si="5" ref="K6:K34">(N6/J6)/12</f>
        <v>36.31163753449862</v>
      </c>
      <c r="L6" s="7">
        <f aca="true" t="shared" si="6" ref="L6:L34">(C6/J6)/12</f>
        <v>14.084253296534804</v>
      </c>
      <c r="M6" s="7">
        <f aca="true" t="shared" si="7" ref="M6:M34">(E6/J6)/12</f>
        <v>22.227384237963815</v>
      </c>
      <c r="N6" s="1">
        <f t="shared" si="0"/>
        <v>473649</v>
      </c>
    </row>
    <row r="7" spans="1:14" ht="12.75">
      <c r="A7" s="43" t="s">
        <v>2</v>
      </c>
      <c r="B7" s="1">
        <f>1414881-53488</f>
        <v>1361393</v>
      </c>
      <c r="C7" s="1">
        <v>281849</v>
      </c>
      <c r="D7" s="3">
        <f t="shared" si="1"/>
        <v>0.20702985838769555</v>
      </c>
      <c r="E7" s="1">
        <v>611239</v>
      </c>
      <c r="F7" s="3">
        <f t="shared" si="2"/>
        <v>0.4489805662288553</v>
      </c>
      <c r="G7" s="3">
        <f t="shared" si="3"/>
        <v>0.6560104246165508</v>
      </c>
      <c r="H7" s="6">
        <v>215</v>
      </c>
      <c r="I7" s="6">
        <v>1186</v>
      </c>
      <c r="J7" s="6">
        <f t="shared" si="4"/>
        <v>1401</v>
      </c>
      <c r="K7" s="7">
        <f t="shared" si="5"/>
        <v>53.1220556745182</v>
      </c>
      <c r="L7" s="7">
        <f t="shared" si="6"/>
        <v>16.764751368070424</v>
      </c>
      <c r="M7" s="7">
        <f t="shared" si="7"/>
        <v>36.35730430644778</v>
      </c>
      <c r="N7" s="1">
        <f t="shared" si="0"/>
        <v>893088</v>
      </c>
    </row>
    <row r="8" spans="1:14" ht="12.75">
      <c r="A8" s="43" t="s">
        <v>3</v>
      </c>
      <c r="B8" s="1">
        <f>1993575-505039</f>
        <v>1488536</v>
      </c>
      <c r="C8" s="1">
        <v>105894</v>
      </c>
      <c r="D8" s="3">
        <f t="shared" si="1"/>
        <v>0.07113969699086888</v>
      </c>
      <c r="E8" s="1">
        <v>183382</v>
      </c>
      <c r="F8" s="3">
        <f t="shared" si="2"/>
        <v>0.12319621426690386</v>
      </c>
      <c r="G8" s="3">
        <f t="shared" si="3"/>
        <v>0.19433591125777275</v>
      </c>
      <c r="H8" s="6">
        <v>127</v>
      </c>
      <c r="I8" s="6">
        <v>927</v>
      </c>
      <c r="J8" s="6">
        <f t="shared" si="4"/>
        <v>1054</v>
      </c>
      <c r="K8" s="7">
        <f t="shared" si="5"/>
        <v>22.871283997469956</v>
      </c>
      <c r="L8" s="7">
        <f t="shared" si="6"/>
        <v>8.372390891840608</v>
      </c>
      <c r="M8" s="7">
        <f t="shared" si="7"/>
        <v>14.49889310562935</v>
      </c>
      <c r="N8" s="1">
        <f t="shared" si="0"/>
        <v>289276</v>
      </c>
    </row>
    <row r="9" spans="1:14" ht="12.75">
      <c r="A9" s="43" t="s">
        <v>4</v>
      </c>
      <c r="B9" s="1">
        <v>7371742</v>
      </c>
      <c r="C9" s="1">
        <v>281128</v>
      </c>
      <c r="D9" s="3">
        <f t="shared" si="1"/>
        <v>0.0381358978651179</v>
      </c>
      <c r="E9" s="1">
        <v>4664446</v>
      </c>
      <c r="F9" s="3">
        <f t="shared" si="2"/>
        <v>0.632746778169936</v>
      </c>
      <c r="G9" s="3">
        <f t="shared" si="3"/>
        <v>0.6708826760350538</v>
      </c>
      <c r="H9" s="6">
        <v>3351</v>
      </c>
      <c r="I9" s="6">
        <v>6875</v>
      </c>
      <c r="J9" s="6">
        <f t="shared" si="4"/>
        <v>10226</v>
      </c>
      <c r="K9" s="7">
        <f t="shared" si="5"/>
        <v>40.302285025099415</v>
      </c>
      <c r="L9" s="7">
        <f t="shared" si="6"/>
        <v>2.2909576895495145</v>
      </c>
      <c r="M9" s="7">
        <f t="shared" si="7"/>
        <v>38.01132733554991</v>
      </c>
      <c r="N9" s="1">
        <f t="shared" si="0"/>
        <v>4945574</v>
      </c>
    </row>
    <row r="10" spans="1:14" ht="12.75">
      <c r="A10" s="43" t="s">
        <v>5</v>
      </c>
      <c r="B10" s="1">
        <v>79850714</v>
      </c>
      <c r="C10" s="1">
        <v>8133154</v>
      </c>
      <c r="D10" s="3">
        <f t="shared" si="1"/>
        <v>0.10185449312325498</v>
      </c>
      <c r="E10" s="1">
        <v>45181440</v>
      </c>
      <c r="F10" s="3">
        <f t="shared" si="2"/>
        <v>0.5658238697777956</v>
      </c>
      <c r="G10" s="3">
        <f t="shared" si="3"/>
        <v>0.6676783629010505</v>
      </c>
      <c r="H10" s="6">
        <v>22064</v>
      </c>
      <c r="I10" s="6">
        <v>61285</v>
      </c>
      <c r="J10" s="6">
        <f t="shared" si="4"/>
        <v>83349</v>
      </c>
      <c r="K10" s="7">
        <f t="shared" si="5"/>
        <v>53.30457274032482</v>
      </c>
      <c r="L10" s="7">
        <f t="shared" si="6"/>
        <v>8.131625254452162</v>
      </c>
      <c r="M10" s="7">
        <f t="shared" si="7"/>
        <v>45.17294748587266</v>
      </c>
      <c r="N10" s="1">
        <f t="shared" si="0"/>
        <v>53314594</v>
      </c>
    </row>
    <row r="11" spans="1:14" ht="12.75">
      <c r="A11" s="43" t="s">
        <v>6</v>
      </c>
      <c r="B11" s="1">
        <f>1852450-541</f>
        <v>1851909</v>
      </c>
      <c r="C11" s="1">
        <v>210997</v>
      </c>
      <c r="D11" s="3">
        <f t="shared" si="1"/>
        <v>0.11393486397009789</v>
      </c>
      <c r="E11" s="1">
        <v>581945</v>
      </c>
      <c r="F11" s="3">
        <f t="shared" si="2"/>
        <v>0.3142406025350058</v>
      </c>
      <c r="G11" s="3">
        <f t="shared" si="3"/>
        <v>0.42817546650510363</v>
      </c>
      <c r="H11" s="6">
        <v>309</v>
      </c>
      <c r="I11" s="6">
        <v>1073</v>
      </c>
      <c r="J11" s="6">
        <f t="shared" si="4"/>
        <v>1382</v>
      </c>
      <c r="K11" s="7">
        <f t="shared" si="5"/>
        <v>47.81367583212735</v>
      </c>
      <c r="L11" s="7">
        <f t="shared" si="6"/>
        <v>12.722925711529186</v>
      </c>
      <c r="M11" s="7">
        <f t="shared" si="7"/>
        <v>35.090750120598166</v>
      </c>
      <c r="N11" s="1">
        <f t="shared" si="0"/>
        <v>792942</v>
      </c>
    </row>
    <row r="12" spans="1:14" ht="12.75">
      <c r="A12" s="43" t="s">
        <v>7</v>
      </c>
      <c r="B12" s="1">
        <v>7113942</v>
      </c>
      <c r="C12" s="1">
        <v>1088543</v>
      </c>
      <c r="D12" s="3">
        <f t="shared" si="1"/>
        <v>0.15301544488273872</v>
      </c>
      <c r="E12" s="1">
        <v>3221852</v>
      </c>
      <c r="F12" s="3">
        <f t="shared" si="2"/>
        <v>0.45289264376909455</v>
      </c>
      <c r="G12" s="3">
        <f t="shared" si="3"/>
        <v>0.6059080886518332</v>
      </c>
      <c r="H12" s="6">
        <v>2356</v>
      </c>
      <c r="I12" s="6">
        <v>7957</v>
      </c>
      <c r="J12" s="6">
        <f t="shared" si="4"/>
        <v>10313</v>
      </c>
      <c r="K12" s="7">
        <f t="shared" si="5"/>
        <v>34.829786030576294</v>
      </c>
      <c r="L12" s="7">
        <f t="shared" si="6"/>
        <v>8.795880603768707</v>
      </c>
      <c r="M12" s="7">
        <f t="shared" si="7"/>
        <v>26.03390542680759</v>
      </c>
      <c r="N12" s="1">
        <f t="shared" si="0"/>
        <v>4310395</v>
      </c>
    </row>
    <row r="13" spans="1:14" ht="12.75">
      <c r="A13" s="43" t="s">
        <v>8</v>
      </c>
      <c r="B13" s="1">
        <f>4435662-55334</f>
        <v>4380328</v>
      </c>
      <c r="C13" s="1">
        <v>889160</v>
      </c>
      <c r="D13" s="3">
        <f t="shared" si="1"/>
        <v>0.20298936517995914</v>
      </c>
      <c r="E13" s="1">
        <v>1681993</v>
      </c>
      <c r="F13" s="3">
        <f t="shared" si="2"/>
        <v>0.38398791140754757</v>
      </c>
      <c r="G13" s="3">
        <f t="shared" si="3"/>
        <v>0.5869772765875066</v>
      </c>
      <c r="H13" s="6">
        <v>1327</v>
      </c>
      <c r="I13" s="6">
        <v>3931</v>
      </c>
      <c r="J13" s="6">
        <f t="shared" si="4"/>
        <v>5258</v>
      </c>
      <c r="K13" s="7">
        <f t="shared" si="5"/>
        <v>40.74985736021301</v>
      </c>
      <c r="L13" s="7">
        <f t="shared" si="6"/>
        <v>14.09217700012679</v>
      </c>
      <c r="M13" s="7">
        <f t="shared" si="7"/>
        <v>26.657680360086218</v>
      </c>
      <c r="N13" s="1">
        <f t="shared" si="0"/>
        <v>2571153</v>
      </c>
    </row>
    <row r="14" spans="1:14" ht="12.75">
      <c r="A14" s="43" t="s">
        <v>9</v>
      </c>
      <c r="B14" s="1">
        <f>3111468-84806</f>
        <v>3026662</v>
      </c>
      <c r="C14" s="1">
        <v>378150</v>
      </c>
      <c r="D14" s="3">
        <f t="shared" si="1"/>
        <v>0.12493961995095587</v>
      </c>
      <c r="E14" s="1">
        <v>930468</v>
      </c>
      <c r="F14" s="3">
        <f t="shared" si="2"/>
        <v>0.30742382201910884</v>
      </c>
      <c r="G14" s="3">
        <f t="shared" si="3"/>
        <v>0.4323634419700647</v>
      </c>
      <c r="H14" s="6">
        <v>427</v>
      </c>
      <c r="I14" s="6">
        <v>4235</v>
      </c>
      <c r="J14" s="6">
        <f t="shared" si="4"/>
        <v>4662</v>
      </c>
      <c r="K14" s="7">
        <f t="shared" si="5"/>
        <v>23.391570141570142</v>
      </c>
      <c r="L14" s="7">
        <f t="shared" si="6"/>
        <v>6.75943800943801</v>
      </c>
      <c r="M14" s="7">
        <f t="shared" si="7"/>
        <v>16.63213213213213</v>
      </c>
      <c r="N14" s="1">
        <f t="shared" si="0"/>
        <v>1308618</v>
      </c>
    </row>
    <row r="15" spans="1:14" ht="12.75">
      <c r="A15" s="43" t="s">
        <v>10</v>
      </c>
      <c r="B15" s="1">
        <f>835799-11309</f>
        <v>824490</v>
      </c>
      <c r="C15" s="1">
        <v>68138</v>
      </c>
      <c r="D15" s="3">
        <f t="shared" si="1"/>
        <v>0.08264260330628631</v>
      </c>
      <c r="E15" s="1">
        <v>166843</v>
      </c>
      <c r="F15" s="3">
        <f t="shared" si="2"/>
        <v>0.20235903406954603</v>
      </c>
      <c r="G15" s="3">
        <f t="shared" si="3"/>
        <v>0.28500163737583234</v>
      </c>
      <c r="H15" s="6">
        <v>251</v>
      </c>
      <c r="I15" s="6">
        <v>414</v>
      </c>
      <c r="J15" s="6">
        <f t="shared" si="4"/>
        <v>665</v>
      </c>
      <c r="K15" s="7">
        <f t="shared" si="5"/>
        <v>29.44624060150376</v>
      </c>
      <c r="L15" s="7">
        <f t="shared" si="6"/>
        <v>8.53859649122807</v>
      </c>
      <c r="M15" s="7">
        <f t="shared" si="7"/>
        <v>20.90764411027569</v>
      </c>
      <c r="N15" s="1">
        <f t="shared" si="0"/>
        <v>234981</v>
      </c>
    </row>
    <row r="16" spans="1:14" ht="12.75">
      <c r="A16" s="43" t="s">
        <v>11</v>
      </c>
      <c r="B16" s="1">
        <f>7289-832</f>
        <v>6457</v>
      </c>
      <c r="C16" s="1">
        <v>2253</v>
      </c>
      <c r="D16" s="3">
        <f t="shared" si="1"/>
        <v>0.348923648753291</v>
      </c>
      <c r="E16" s="1">
        <v>3243</v>
      </c>
      <c r="F16" s="3">
        <f t="shared" si="2"/>
        <v>0.5022456249032058</v>
      </c>
      <c r="G16" s="3">
        <f t="shared" si="3"/>
        <v>0.8511692736564969</v>
      </c>
      <c r="H16" s="6">
        <v>0</v>
      </c>
      <c r="I16" s="6">
        <v>8</v>
      </c>
      <c r="J16" s="6">
        <f t="shared" si="4"/>
        <v>8</v>
      </c>
      <c r="K16" s="7">
        <f t="shared" si="5"/>
        <v>57.25</v>
      </c>
      <c r="L16" s="7">
        <f t="shared" si="6"/>
        <v>23.46875</v>
      </c>
      <c r="M16" s="7">
        <f t="shared" si="7"/>
        <v>33.78125</v>
      </c>
      <c r="N16" s="1">
        <f t="shared" si="0"/>
        <v>5496</v>
      </c>
    </row>
    <row r="17" spans="1:14" ht="12.75">
      <c r="A17" s="43" t="s">
        <v>25</v>
      </c>
      <c r="B17" s="1">
        <v>1678946</v>
      </c>
      <c r="C17" s="1">
        <v>196190</v>
      </c>
      <c r="D17" s="4">
        <f t="shared" si="1"/>
        <v>0.11685307329717573</v>
      </c>
      <c r="E17" s="1">
        <v>1048005</v>
      </c>
      <c r="F17" s="4">
        <f t="shared" si="2"/>
        <v>0.624204113771378</v>
      </c>
      <c r="G17" s="4">
        <f t="shared" si="3"/>
        <v>0.7410571870685537</v>
      </c>
      <c r="H17" s="6">
        <v>459</v>
      </c>
      <c r="I17" s="6">
        <v>1362</v>
      </c>
      <c r="J17" s="6">
        <f t="shared" si="4"/>
        <v>1821</v>
      </c>
      <c r="K17" s="8">
        <f t="shared" si="5"/>
        <v>56.93735127219477</v>
      </c>
      <c r="L17" s="8">
        <f t="shared" si="6"/>
        <v>8.97812557203002</v>
      </c>
      <c r="M17" s="8">
        <f t="shared" si="7"/>
        <v>47.959225700164744</v>
      </c>
      <c r="N17" s="1">
        <f t="shared" si="0"/>
        <v>1244195</v>
      </c>
    </row>
    <row r="18" spans="1:14" ht="12.75">
      <c r="A18" s="43" t="s">
        <v>12</v>
      </c>
      <c r="B18" s="1">
        <f>1844399-8233</f>
        <v>1836166</v>
      </c>
      <c r="C18" s="1">
        <v>291799</v>
      </c>
      <c r="D18" s="3">
        <f t="shared" si="1"/>
        <v>0.1589175488490692</v>
      </c>
      <c r="E18" s="1">
        <v>810474</v>
      </c>
      <c r="F18" s="3">
        <f t="shared" si="2"/>
        <v>0.4413947322845538</v>
      </c>
      <c r="G18" s="3">
        <f t="shared" si="3"/>
        <v>0.600312281133623</v>
      </c>
      <c r="H18" s="6">
        <v>499</v>
      </c>
      <c r="I18" s="6">
        <v>1112</v>
      </c>
      <c r="J18" s="6">
        <f t="shared" si="4"/>
        <v>1611</v>
      </c>
      <c r="K18" s="7">
        <f t="shared" si="5"/>
        <v>57.01805296917029</v>
      </c>
      <c r="L18" s="7">
        <f t="shared" si="6"/>
        <v>15.094092696048003</v>
      </c>
      <c r="M18" s="7">
        <f t="shared" si="7"/>
        <v>41.92396027312228</v>
      </c>
      <c r="N18" s="1">
        <f aca="true" t="shared" si="8" ref="N18:N24">C18+E18</f>
        <v>1102273</v>
      </c>
    </row>
    <row r="19" spans="1:14" ht="12.75">
      <c r="A19" s="43" t="s">
        <v>13</v>
      </c>
      <c r="B19" s="1">
        <f>821573-3110</f>
        <v>818463</v>
      </c>
      <c r="C19" s="1">
        <v>77094</v>
      </c>
      <c r="D19" s="3">
        <f t="shared" si="1"/>
        <v>0.09419362878957264</v>
      </c>
      <c r="E19" s="1">
        <v>345272</v>
      </c>
      <c r="F19" s="3">
        <f t="shared" si="2"/>
        <v>0.4218541339070917</v>
      </c>
      <c r="G19" s="3">
        <f t="shared" si="3"/>
        <v>0.5160477626966643</v>
      </c>
      <c r="H19" s="6">
        <v>122</v>
      </c>
      <c r="I19" s="6">
        <v>441</v>
      </c>
      <c r="J19" s="6">
        <f t="shared" si="4"/>
        <v>563</v>
      </c>
      <c r="K19" s="7">
        <f t="shared" si="5"/>
        <v>62.51716992303138</v>
      </c>
      <c r="L19" s="7">
        <f t="shared" si="6"/>
        <v>11.411190053285969</v>
      </c>
      <c r="M19" s="7">
        <f t="shared" si="7"/>
        <v>51.10597986974542</v>
      </c>
      <c r="N19" s="1">
        <f t="shared" si="8"/>
        <v>422366</v>
      </c>
    </row>
    <row r="20" spans="1:14" ht="12.75">
      <c r="A20" s="43" t="s">
        <v>14</v>
      </c>
      <c r="B20" s="1">
        <f>348799-3010</f>
        <v>345789</v>
      </c>
      <c r="C20" s="1">
        <v>29001</v>
      </c>
      <c r="D20" s="3">
        <f t="shared" si="1"/>
        <v>0.08386906466081917</v>
      </c>
      <c r="E20" s="1">
        <v>177851</v>
      </c>
      <c r="F20" s="3">
        <f t="shared" si="2"/>
        <v>0.5143338856932985</v>
      </c>
      <c r="G20" s="3">
        <f t="shared" si="3"/>
        <v>0.5982029503541176</v>
      </c>
      <c r="H20" s="6">
        <v>43</v>
      </c>
      <c r="I20" s="6">
        <v>189</v>
      </c>
      <c r="J20" s="6">
        <f t="shared" si="4"/>
        <v>232</v>
      </c>
      <c r="K20" s="7">
        <f t="shared" si="5"/>
        <v>74.30028735632185</v>
      </c>
      <c r="L20" s="7">
        <f t="shared" si="6"/>
        <v>10.417025862068966</v>
      </c>
      <c r="M20" s="7">
        <f t="shared" si="7"/>
        <v>63.88326149425288</v>
      </c>
      <c r="N20" s="1">
        <f t="shared" si="8"/>
        <v>206852</v>
      </c>
    </row>
    <row r="21" spans="1:14" ht="12.75">
      <c r="A21" s="43" t="s">
        <v>15</v>
      </c>
      <c r="B21" s="1">
        <f>1383744-133596</f>
        <v>1250148</v>
      </c>
      <c r="C21" s="1">
        <v>237132</v>
      </c>
      <c r="D21" s="3">
        <f t="shared" si="1"/>
        <v>0.1896831415160445</v>
      </c>
      <c r="E21" s="1">
        <v>621006</v>
      </c>
      <c r="F21" s="3">
        <f t="shared" si="2"/>
        <v>0.4967459852753434</v>
      </c>
      <c r="G21" s="3">
        <f t="shared" si="3"/>
        <v>0.6864291267913879</v>
      </c>
      <c r="H21" s="6">
        <v>699</v>
      </c>
      <c r="I21" s="6">
        <v>1522</v>
      </c>
      <c r="J21" s="6">
        <f t="shared" si="4"/>
        <v>2221</v>
      </c>
      <c r="K21" s="7">
        <f t="shared" si="5"/>
        <v>32.19788383610986</v>
      </c>
      <c r="L21" s="7">
        <f t="shared" si="6"/>
        <v>8.897343538946421</v>
      </c>
      <c r="M21" s="7">
        <f t="shared" si="7"/>
        <v>23.30054029716344</v>
      </c>
      <c r="N21" s="1">
        <f t="shared" si="8"/>
        <v>858138</v>
      </c>
    </row>
    <row r="22" spans="1:14" ht="12.75">
      <c r="A22" s="43" t="s">
        <v>16</v>
      </c>
      <c r="B22" s="1">
        <f>851685-40367</f>
        <v>811318</v>
      </c>
      <c r="C22" s="1">
        <v>92816</v>
      </c>
      <c r="D22" s="3">
        <f t="shared" si="1"/>
        <v>0.11440150471208577</v>
      </c>
      <c r="E22" s="1">
        <v>262507</v>
      </c>
      <c r="F22" s="3">
        <f t="shared" si="2"/>
        <v>0.3235562381211806</v>
      </c>
      <c r="G22" s="3">
        <f t="shared" si="3"/>
        <v>0.4379577428332664</v>
      </c>
      <c r="H22" s="6">
        <v>71</v>
      </c>
      <c r="I22" s="6">
        <v>821</v>
      </c>
      <c r="J22" s="6">
        <f t="shared" si="4"/>
        <v>892</v>
      </c>
      <c r="K22" s="7">
        <f t="shared" si="5"/>
        <v>33.19534753363229</v>
      </c>
      <c r="L22" s="7">
        <f t="shared" si="6"/>
        <v>8.671150971599403</v>
      </c>
      <c r="M22" s="7">
        <f t="shared" si="7"/>
        <v>24.524196562032884</v>
      </c>
      <c r="N22" s="1">
        <f t="shared" si="8"/>
        <v>355323</v>
      </c>
    </row>
    <row r="23" spans="1:14" ht="12.75">
      <c r="A23" s="43" t="s">
        <v>17</v>
      </c>
      <c r="B23" s="1">
        <f>2495162-51590</f>
        <v>2443572</v>
      </c>
      <c r="C23" s="1">
        <v>303858</v>
      </c>
      <c r="D23" s="3">
        <f t="shared" si="1"/>
        <v>0.12434992707397204</v>
      </c>
      <c r="E23" s="1">
        <v>684709</v>
      </c>
      <c r="F23" s="3">
        <f t="shared" si="2"/>
        <v>0.2802082361395531</v>
      </c>
      <c r="G23" s="3">
        <f t="shared" si="3"/>
        <v>0.4045581632135251</v>
      </c>
      <c r="H23" s="6">
        <v>376</v>
      </c>
      <c r="I23" s="6">
        <v>1198</v>
      </c>
      <c r="J23" s="6">
        <f t="shared" si="4"/>
        <v>1574</v>
      </c>
      <c r="K23" s="7">
        <f t="shared" si="5"/>
        <v>52.33836298178738</v>
      </c>
      <c r="L23" s="7">
        <f t="shared" si="6"/>
        <v>16.087357052096568</v>
      </c>
      <c r="M23" s="7">
        <f t="shared" si="7"/>
        <v>36.25100592969081</v>
      </c>
      <c r="N23" s="1">
        <f t="shared" si="8"/>
        <v>988567</v>
      </c>
    </row>
    <row r="24" spans="1:14" ht="12.75">
      <c r="A24" s="43" t="s">
        <v>26</v>
      </c>
      <c r="B24" s="1">
        <f>456925-1042</f>
        <v>455883</v>
      </c>
      <c r="C24" s="1">
        <v>129828</v>
      </c>
      <c r="D24" s="4">
        <f t="shared" si="1"/>
        <v>0.2847835957910253</v>
      </c>
      <c r="E24" s="1">
        <v>149748</v>
      </c>
      <c r="F24" s="4">
        <f t="shared" si="2"/>
        <v>0.3284790176426846</v>
      </c>
      <c r="G24" s="4">
        <f t="shared" si="3"/>
        <v>0.6132626134337099</v>
      </c>
      <c r="H24" s="6">
        <v>48</v>
      </c>
      <c r="I24" s="6">
        <v>123</v>
      </c>
      <c r="J24" s="6">
        <f t="shared" si="4"/>
        <v>171</v>
      </c>
      <c r="K24" s="8">
        <f t="shared" si="5"/>
        <v>136.24561403508773</v>
      </c>
      <c r="L24" s="8">
        <f t="shared" si="6"/>
        <v>63.26900584795322</v>
      </c>
      <c r="M24" s="8">
        <f t="shared" si="7"/>
        <v>72.9766081871345</v>
      </c>
      <c r="N24" s="1">
        <f t="shared" si="8"/>
        <v>279576</v>
      </c>
    </row>
    <row r="25" spans="1:14" ht="12.75">
      <c r="A25" s="43" t="s">
        <v>18</v>
      </c>
      <c r="B25" s="1">
        <f>478194-12629</f>
        <v>465565</v>
      </c>
      <c r="C25" s="1">
        <v>67504</v>
      </c>
      <c r="D25" s="3">
        <f t="shared" si="1"/>
        <v>0.14499371731122399</v>
      </c>
      <c r="E25" s="1">
        <v>44857</v>
      </c>
      <c r="F25" s="3">
        <f t="shared" si="2"/>
        <v>0.09634959672655806</v>
      </c>
      <c r="G25" s="3">
        <f t="shared" si="3"/>
        <v>0.24134331403778206</v>
      </c>
      <c r="H25" s="6">
        <v>89</v>
      </c>
      <c r="I25" s="6">
        <v>211</v>
      </c>
      <c r="J25" s="6">
        <f t="shared" si="4"/>
        <v>300</v>
      </c>
      <c r="K25" s="7">
        <f t="shared" si="5"/>
        <v>31.21138888888889</v>
      </c>
      <c r="L25" s="7">
        <f t="shared" si="6"/>
        <v>18.75111111111111</v>
      </c>
      <c r="M25" s="7">
        <f t="shared" si="7"/>
        <v>12.460277777777778</v>
      </c>
      <c r="N25" s="1">
        <f>C25+E25</f>
        <v>112361</v>
      </c>
    </row>
    <row r="26" spans="1:14" ht="12.75">
      <c r="A26" s="43" t="s">
        <v>27</v>
      </c>
      <c r="B26" s="1">
        <v>2941936</v>
      </c>
      <c r="C26" s="1">
        <v>174220</v>
      </c>
      <c r="D26" s="4">
        <f t="shared" si="1"/>
        <v>0.05921950715447243</v>
      </c>
      <c r="E26" s="1">
        <v>1174393</v>
      </c>
      <c r="F26" s="4">
        <f t="shared" si="2"/>
        <v>0.39919053303674856</v>
      </c>
      <c r="G26" s="4">
        <f t="shared" si="3"/>
        <v>0.458410040191221</v>
      </c>
      <c r="H26" s="6">
        <v>417</v>
      </c>
      <c r="I26" s="6">
        <v>1922</v>
      </c>
      <c r="J26" s="6">
        <f t="shared" si="4"/>
        <v>2339</v>
      </c>
      <c r="K26" s="8">
        <f t="shared" si="5"/>
        <v>48.048061849793356</v>
      </c>
      <c r="L26" s="8">
        <f t="shared" si="6"/>
        <v>6.207068547812455</v>
      </c>
      <c r="M26" s="8">
        <f t="shared" si="7"/>
        <v>41.8409933019809</v>
      </c>
      <c r="N26" s="1">
        <f>C26+E26</f>
        <v>1348613</v>
      </c>
    </row>
    <row r="27" spans="1:14" ht="12.75">
      <c r="A27" s="43" t="s">
        <v>19</v>
      </c>
      <c r="B27" s="1">
        <v>592681</v>
      </c>
      <c r="C27" s="1">
        <v>14340</v>
      </c>
      <c r="D27" s="3">
        <f t="shared" si="1"/>
        <v>0.02419514038749344</v>
      </c>
      <c r="E27" s="1">
        <v>231758</v>
      </c>
      <c r="F27" s="3">
        <f t="shared" si="2"/>
        <v>0.39103328772138807</v>
      </c>
      <c r="G27" s="3">
        <f t="shared" si="3"/>
        <v>0.4152284281088815</v>
      </c>
      <c r="H27" s="6">
        <v>15</v>
      </c>
      <c r="I27" s="6">
        <v>102</v>
      </c>
      <c r="J27" s="6">
        <f t="shared" si="4"/>
        <v>117</v>
      </c>
      <c r="K27" s="7">
        <f t="shared" si="5"/>
        <v>175.28347578347578</v>
      </c>
      <c r="L27" s="7">
        <f t="shared" si="6"/>
        <v>10.213675213675215</v>
      </c>
      <c r="M27" s="7">
        <f t="shared" si="7"/>
        <v>165.06980056980058</v>
      </c>
      <c r="N27" s="1">
        <f aca="true" t="shared" si="9" ref="N27:N32">C27+E27</f>
        <v>246098</v>
      </c>
    </row>
    <row r="28" spans="1:14" ht="12.75">
      <c r="A28" s="43" t="s">
        <v>20</v>
      </c>
      <c r="B28" s="1">
        <v>137422</v>
      </c>
      <c r="C28" s="1">
        <v>11213</v>
      </c>
      <c r="D28" s="3">
        <f t="shared" si="1"/>
        <v>0.0815953777415552</v>
      </c>
      <c r="E28" s="1">
        <v>70912</v>
      </c>
      <c r="F28" s="3">
        <f t="shared" si="2"/>
        <v>0.5160163583705666</v>
      </c>
      <c r="G28" s="3">
        <f t="shared" si="3"/>
        <v>0.5976117361121218</v>
      </c>
      <c r="H28" s="6">
        <v>7</v>
      </c>
      <c r="I28" s="6">
        <v>69</v>
      </c>
      <c r="J28" s="6">
        <f t="shared" si="4"/>
        <v>76</v>
      </c>
      <c r="K28" s="7">
        <f t="shared" si="5"/>
        <v>90.04934210526316</v>
      </c>
      <c r="L28" s="7">
        <f t="shared" si="6"/>
        <v>12.294956140350877</v>
      </c>
      <c r="M28" s="7">
        <f t="shared" si="7"/>
        <v>77.75438596491229</v>
      </c>
      <c r="N28" s="1">
        <f t="shared" si="9"/>
        <v>82125</v>
      </c>
    </row>
    <row r="29" spans="1:14" ht="12.75">
      <c r="A29" s="43" t="s">
        <v>21</v>
      </c>
      <c r="B29" s="1">
        <v>1510715</v>
      </c>
      <c r="C29" s="1">
        <v>279156</v>
      </c>
      <c r="D29" s="3">
        <f t="shared" si="1"/>
        <v>0.18478402610684344</v>
      </c>
      <c r="E29" s="1">
        <v>716659</v>
      </c>
      <c r="F29" s="3">
        <f t="shared" si="2"/>
        <v>0.4743839837427973</v>
      </c>
      <c r="G29" s="3">
        <f t="shared" si="3"/>
        <v>0.6591680098496407</v>
      </c>
      <c r="H29" s="6">
        <v>407</v>
      </c>
      <c r="I29" s="6">
        <v>1229</v>
      </c>
      <c r="J29" s="6">
        <f t="shared" si="4"/>
        <v>1636</v>
      </c>
      <c r="K29" s="7">
        <f t="shared" si="5"/>
        <v>50.72407294213529</v>
      </c>
      <c r="L29" s="7">
        <f t="shared" si="6"/>
        <v>14.219437652811736</v>
      </c>
      <c r="M29" s="7">
        <f t="shared" si="7"/>
        <v>36.50463528932355</v>
      </c>
      <c r="N29" s="1">
        <f t="shared" si="9"/>
        <v>995815</v>
      </c>
    </row>
    <row r="30" spans="1:14" ht="12.75">
      <c r="A30" s="43" t="s">
        <v>22</v>
      </c>
      <c r="B30" s="1">
        <f>582903-1062</f>
        <v>581841</v>
      </c>
      <c r="C30" s="1">
        <v>71268</v>
      </c>
      <c r="D30" s="3">
        <f t="shared" si="1"/>
        <v>0.12248707121017598</v>
      </c>
      <c r="E30" s="1">
        <v>288935</v>
      </c>
      <c r="F30" s="3">
        <f t="shared" si="2"/>
        <v>0.49658755570679963</v>
      </c>
      <c r="G30" s="3">
        <f t="shared" si="3"/>
        <v>0.6190746269169756</v>
      </c>
      <c r="H30" s="6">
        <v>91</v>
      </c>
      <c r="I30" s="6">
        <v>250</v>
      </c>
      <c r="J30" s="6">
        <f t="shared" si="4"/>
        <v>341</v>
      </c>
      <c r="K30" s="7">
        <f t="shared" si="5"/>
        <v>88.02614858260019</v>
      </c>
      <c r="L30" s="7">
        <f t="shared" si="6"/>
        <v>17.41642228739003</v>
      </c>
      <c r="M30" s="7">
        <f t="shared" si="7"/>
        <v>70.60972629521017</v>
      </c>
      <c r="N30" s="1">
        <f t="shared" si="9"/>
        <v>360203</v>
      </c>
    </row>
    <row r="31" spans="1:14" ht="12.75">
      <c r="A31" s="43" t="s">
        <v>23</v>
      </c>
      <c r="B31" s="1">
        <f>1659138-36914</f>
        <v>1622224</v>
      </c>
      <c r="C31" s="1">
        <v>220618</v>
      </c>
      <c r="D31" s="3">
        <f t="shared" si="1"/>
        <v>0.13599724822219372</v>
      </c>
      <c r="E31" s="1">
        <v>755797</v>
      </c>
      <c r="F31" s="3">
        <f t="shared" si="2"/>
        <v>0.46590174969671266</v>
      </c>
      <c r="G31" s="3">
        <f t="shared" si="3"/>
        <v>0.6018989979189064</v>
      </c>
      <c r="H31" s="6">
        <v>353</v>
      </c>
      <c r="I31" s="6">
        <v>1316</v>
      </c>
      <c r="J31" s="6">
        <f t="shared" si="4"/>
        <v>1669</v>
      </c>
      <c r="K31" s="7">
        <f t="shared" si="5"/>
        <v>48.752496504893145</v>
      </c>
      <c r="L31" s="7">
        <f t="shared" si="6"/>
        <v>11.015478330337528</v>
      </c>
      <c r="M31" s="7">
        <f t="shared" si="7"/>
        <v>37.73701817455562</v>
      </c>
      <c r="N31" s="1">
        <f t="shared" si="9"/>
        <v>976415</v>
      </c>
    </row>
    <row r="32" spans="1:14" ht="12.75">
      <c r="A32" s="43" t="s">
        <v>24</v>
      </c>
      <c r="B32" s="1">
        <v>143609</v>
      </c>
      <c r="C32" s="1">
        <v>22343</v>
      </c>
      <c r="D32" s="3">
        <f t="shared" si="1"/>
        <v>0.15558217103384886</v>
      </c>
      <c r="E32" s="1">
        <v>98658</v>
      </c>
      <c r="F32" s="3">
        <f t="shared" si="2"/>
        <v>0.6869903696843512</v>
      </c>
      <c r="G32" s="3">
        <f t="shared" si="3"/>
        <v>0.8425725407182001</v>
      </c>
      <c r="H32" s="6">
        <v>0</v>
      </c>
      <c r="I32" s="6">
        <v>69</v>
      </c>
      <c r="J32" s="6">
        <f t="shared" si="4"/>
        <v>69</v>
      </c>
      <c r="K32" s="7">
        <f t="shared" si="5"/>
        <v>146.13647342995168</v>
      </c>
      <c r="L32" s="7">
        <f t="shared" si="6"/>
        <v>26.984299516908212</v>
      </c>
      <c r="M32" s="7">
        <f t="shared" si="7"/>
        <v>119.15217391304348</v>
      </c>
      <c r="N32" s="1">
        <f t="shared" si="9"/>
        <v>121001</v>
      </c>
    </row>
    <row r="33" spans="1:14" ht="12.75">
      <c r="A33" s="43"/>
      <c r="B33" s="1"/>
      <c r="C33" s="1"/>
      <c r="D33" s="4" t="s">
        <v>31</v>
      </c>
      <c r="E33" s="1"/>
      <c r="F33" s="4" t="s">
        <v>31</v>
      </c>
      <c r="G33" s="4" t="s">
        <v>31</v>
      </c>
      <c r="J33" t="s">
        <v>31</v>
      </c>
      <c r="K33" s="8" t="s">
        <v>31</v>
      </c>
      <c r="L33" s="8" t="s">
        <v>31</v>
      </c>
      <c r="M33" s="8" t="s">
        <v>31</v>
      </c>
      <c r="N33" s="1" t="s">
        <v>31</v>
      </c>
    </row>
    <row r="34" spans="1:14" ht="12.75">
      <c r="A34" s="43" t="s">
        <v>119</v>
      </c>
      <c r="B34" s="1">
        <f>SUM(B5:B33)</f>
        <v>126138550</v>
      </c>
      <c r="C34" s="1">
        <f>SUM(C5:C33)</f>
        <v>13884539</v>
      </c>
      <c r="D34" s="9">
        <f t="shared" si="1"/>
        <v>0.11007371656008413</v>
      </c>
      <c r="E34" s="1">
        <f>SUM(E5:E33)</f>
        <v>65089713</v>
      </c>
      <c r="F34" s="9">
        <f t="shared" si="2"/>
        <v>0.5160176092082872</v>
      </c>
      <c r="G34" s="5">
        <f t="shared" si="3"/>
        <v>0.6260913257683713</v>
      </c>
      <c r="H34" s="6">
        <f>SUM(H5:H33)</f>
        <v>34308</v>
      </c>
      <c r="I34" s="6">
        <f>SUM(I5:I33)</f>
        <v>100856</v>
      </c>
      <c r="J34" s="6">
        <f t="shared" si="4"/>
        <v>135164</v>
      </c>
      <c r="K34" s="10">
        <f t="shared" si="5"/>
        <v>48.69038846635692</v>
      </c>
      <c r="L34" s="10">
        <f t="shared" si="6"/>
        <v>8.560303902419777</v>
      </c>
      <c r="M34" s="10">
        <f t="shared" si="7"/>
        <v>40.13008456393714</v>
      </c>
      <c r="N34" s="1">
        <f>C34+E34</f>
        <v>78974252</v>
      </c>
    </row>
    <row r="35" ht="12.75">
      <c r="A35" s="43"/>
    </row>
    <row r="36" spans="1:14" ht="12.75">
      <c r="A36" s="43" t="s">
        <v>57</v>
      </c>
      <c r="B36" s="1">
        <f>2239336802-116586311</f>
        <v>2122750491</v>
      </c>
      <c r="C36" s="1">
        <v>95728669</v>
      </c>
      <c r="D36" s="3">
        <f>C36/B36</f>
        <v>0.04509652425278841</v>
      </c>
      <c r="E36" s="1">
        <v>574651679</v>
      </c>
      <c r="F36" s="3">
        <f>E36/B36</f>
        <v>0.27071089204143306</v>
      </c>
      <c r="G36" s="3">
        <f>(C36+E36)/B36</f>
        <v>0.31580741629422143</v>
      </c>
      <c r="H36" s="6">
        <f>946243-24776</f>
        <v>921467</v>
      </c>
      <c r="I36" s="6">
        <v>1899646</v>
      </c>
      <c r="J36" s="6">
        <f>H36+I36</f>
        <v>2821113</v>
      </c>
      <c r="K36" s="10">
        <f>(N36/J36)/12</f>
        <v>19.8024783126376</v>
      </c>
      <c r="L36" s="10">
        <f>(C36/J36)/12</f>
        <v>2.8277453201390137</v>
      </c>
      <c r="M36" s="10">
        <f>(E36/J36)/12</f>
        <v>16.974732992498588</v>
      </c>
      <c r="N36" s="1">
        <f>C36+E36</f>
        <v>670380348</v>
      </c>
    </row>
    <row r="38" spans="1:10" ht="12.75">
      <c r="A38" t="s">
        <v>98</v>
      </c>
      <c r="J38" s="6">
        <v>1856075</v>
      </c>
    </row>
    <row r="40" spans="1:10" ht="12.75">
      <c r="A40" t="s">
        <v>113</v>
      </c>
      <c r="H40" s="6">
        <v>147757</v>
      </c>
      <c r="I40" s="6">
        <v>105084</v>
      </c>
      <c r="J40" s="6">
        <f>H40+I40</f>
        <v>252841</v>
      </c>
    </row>
    <row r="41" spans="8:10" ht="12.75">
      <c r="H41" s="6"/>
      <c r="I41" s="6"/>
      <c r="J41" s="6"/>
    </row>
    <row r="42" ht="12.75">
      <c r="A42" s="43"/>
    </row>
    <row r="43" spans="1:5" ht="12.75">
      <c r="A43" s="11" t="s">
        <v>153</v>
      </c>
      <c r="B43" t="s">
        <v>154</v>
      </c>
      <c r="E43" s="12">
        <v>59721596</v>
      </c>
    </row>
    <row r="44" spans="2:5" ht="12.75">
      <c r="B44" t="s">
        <v>46</v>
      </c>
      <c r="E44" s="12">
        <v>66563539</v>
      </c>
    </row>
    <row r="45" spans="2:5" ht="12.75">
      <c r="B45" t="s">
        <v>135</v>
      </c>
      <c r="E45" s="41">
        <f>C34</f>
        <v>13884539</v>
      </c>
    </row>
    <row r="46" spans="2:5" ht="12.75">
      <c r="B46" t="s">
        <v>155</v>
      </c>
      <c r="E46" s="41">
        <f>C36</f>
        <v>95728669</v>
      </c>
    </row>
    <row r="47" spans="2:5" ht="24" customHeight="1">
      <c r="B47" s="46" t="s">
        <v>157</v>
      </c>
      <c r="C47" s="46"/>
      <c r="D47" s="46"/>
      <c r="E47" s="41">
        <f>E43+E45+E46</f>
        <v>169334804</v>
      </c>
    </row>
    <row r="48" spans="2:5" ht="12.75">
      <c r="B48" t="s">
        <v>136</v>
      </c>
      <c r="E48" s="5">
        <v>0.0789</v>
      </c>
    </row>
    <row r="49" spans="2:5" ht="26.25" customHeight="1">
      <c r="B49" s="46" t="s">
        <v>158</v>
      </c>
      <c r="C49" s="46"/>
      <c r="D49" s="46"/>
      <c r="E49" s="41">
        <f>E43+E45+E46+E34+E36</f>
        <v>809076196</v>
      </c>
    </row>
    <row r="50" spans="2:5" ht="12.75">
      <c r="B50" t="s">
        <v>156</v>
      </c>
      <c r="E50" s="5">
        <v>0.3768</v>
      </c>
    </row>
    <row r="51" spans="2:5" ht="12.75">
      <c r="B51" t="s">
        <v>31</v>
      </c>
      <c r="E51" s="5" t="s">
        <v>31</v>
      </c>
    </row>
  </sheetData>
  <mergeCells count="2">
    <mergeCell ref="B47:D47"/>
    <mergeCell ref="B49:D49"/>
  </mergeCells>
  <printOptions gridLines="1" headings="1"/>
  <pageMargins left="0.4" right="0.4" top="1" bottom="0.5" header="0.5" footer="0.25"/>
  <pageSetup fitToHeight="1" fitToWidth="1" horizontalDpi="600" verticalDpi="600" orientation="landscape" scale="74" r:id="rId1"/>
  <headerFooter alignWithMargins="0">
    <oddHeader>&amp;C&amp;"Arial,Bold"&amp;16APPENDIX 1:  POSSIBLE IMPACTS OF REDUCING SWITCHED ACCESS RATES TO $0&amp;RPage 1 of 1</oddHeader>
    <oddFooter>&amp;L* includes basic local service, local network service, federal and state network access for intrastate and interstate, long distance, miscellaneous, excluding non-regulated, and less uncollectible.
Source:  2000 Annual Reports filed with Colorado PUC.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6" sqref="B36"/>
    </sheetView>
  </sheetViews>
  <sheetFormatPr defaultColWidth="9.140625" defaultRowHeight="12.75"/>
  <cols>
    <col min="1" max="1" width="15.00390625" style="0" bestFit="1" customWidth="1"/>
    <col min="2" max="2" width="13.8515625" style="0" bestFit="1" customWidth="1"/>
    <col min="3" max="3" width="13.140625" style="0" customWidth="1"/>
    <col min="4" max="4" width="11.7109375" style="0" customWidth="1"/>
    <col min="5" max="5" width="11.140625" style="0" customWidth="1"/>
    <col min="6" max="6" width="12.421875" style="0" customWidth="1"/>
    <col min="7" max="7" width="12.8515625" style="0" customWidth="1"/>
    <col min="8" max="8" width="11.140625" style="0" bestFit="1" customWidth="1"/>
    <col min="9" max="9" width="12.140625" style="0" bestFit="1" customWidth="1"/>
    <col min="10" max="10" width="14.57421875" style="0" customWidth="1"/>
    <col min="11" max="11" width="10.140625" style="0" customWidth="1"/>
    <col min="12" max="12" width="10.7109375" style="0" customWidth="1"/>
    <col min="14" max="14" width="10.421875" style="0" bestFit="1" customWidth="1"/>
    <col min="15" max="15" width="14.140625" style="0" customWidth="1"/>
    <col min="18" max="18" width="10.00390625" style="0" bestFit="1" customWidth="1"/>
    <col min="19" max="19" width="11.140625" style="0" bestFit="1" customWidth="1"/>
  </cols>
  <sheetData>
    <row r="1" spans="2:15" ht="12.75">
      <c r="B1" s="2">
        <v>2000</v>
      </c>
      <c r="C1" s="2">
        <v>2000</v>
      </c>
      <c r="D1" s="2">
        <v>2000</v>
      </c>
      <c r="E1" s="2">
        <v>2000</v>
      </c>
      <c r="F1" s="2">
        <v>2000</v>
      </c>
      <c r="G1" s="2">
        <v>2000</v>
      </c>
      <c r="H1" s="2" t="s">
        <v>34</v>
      </c>
      <c r="I1" s="2" t="s">
        <v>33</v>
      </c>
      <c r="J1" s="2">
        <v>2000</v>
      </c>
      <c r="K1" s="2">
        <v>2000</v>
      </c>
      <c r="L1" s="2">
        <v>2000</v>
      </c>
      <c r="M1" s="2">
        <v>2000</v>
      </c>
      <c r="N1" s="2">
        <v>2000</v>
      </c>
      <c r="O1" s="2" t="s">
        <v>103</v>
      </c>
    </row>
    <row r="2" spans="1:15" ht="12.75">
      <c r="A2" t="s">
        <v>112</v>
      </c>
      <c r="B2" s="2" t="s">
        <v>70</v>
      </c>
      <c r="C2" s="2" t="s">
        <v>71</v>
      </c>
      <c r="D2" s="2" t="s">
        <v>100</v>
      </c>
      <c r="E2" s="2" t="s">
        <v>76</v>
      </c>
      <c r="F2" s="2" t="s">
        <v>107</v>
      </c>
      <c r="G2" s="2" t="s">
        <v>108</v>
      </c>
      <c r="H2" s="2" t="s">
        <v>32</v>
      </c>
      <c r="I2" s="2" t="s">
        <v>32</v>
      </c>
      <c r="J2" s="2" t="s">
        <v>105</v>
      </c>
      <c r="K2" s="2" t="s">
        <v>38</v>
      </c>
      <c r="L2" s="2" t="s">
        <v>40</v>
      </c>
      <c r="M2" s="2" t="s">
        <v>150</v>
      </c>
      <c r="N2" s="2" t="s">
        <v>150</v>
      </c>
      <c r="O2" s="2" t="s">
        <v>68</v>
      </c>
    </row>
    <row r="3" spans="2:15" ht="12.75">
      <c r="B3" s="2" t="s">
        <v>36</v>
      </c>
      <c r="C3" s="2" t="s">
        <v>72</v>
      </c>
      <c r="D3" s="2" t="s">
        <v>101</v>
      </c>
      <c r="E3" s="2" t="s">
        <v>102</v>
      </c>
      <c r="F3" s="2" t="s">
        <v>36</v>
      </c>
      <c r="G3" s="2" t="s">
        <v>109</v>
      </c>
      <c r="H3" s="2" t="s">
        <v>36</v>
      </c>
      <c r="I3" s="2" t="s">
        <v>36</v>
      </c>
      <c r="J3" s="2" t="s">
        <v>106</v>
      </c>
      <c r="K3" s="2" t="s">
        <v>41</v>
      </c>
      <c r="L3" s="2" t="s">
        <v>41</v>
      </c>
      <c r="M3" s="2" t="s">
        <v>38</v>
      </c>
      <c r="N3" s="2" t="s">
        <v>40</v>
      </c>
      <c r="O3" s="2" t="s">
        <v>69</v>
      </c>
    </row>
    <row r="4" spans="2:15" ht="12.75">
      <c r="B4" s="2" t="s">
        <v>73</v>
      </c>
      <c r="C4" s="2" t="s">
        <v>74</v>
      </c>
      <c r="D4" s="2"/>
      <c r="E4" s="2"/>
      <c r="F4" s="2" t="s">
        <v>111</v>
      </c>
      <c r="G4" s="32" t="s">
        <v>110</v>
      </c>
      <c r="H4" s="2" t="s">
        <v>67</v>
      </c>
      <c r="I4" s="2" t="s">
        <v>67</v>
      </c>
      <c r="J4" s="2" t="s">
        <v>151</v>
      </c>
      <c r="K4" s="2" t="s">
        <v>99</v>
      </c>
      <c r="L4" s="2" t="s">
        <v>99</v>
      </c>
      <c r="M4" s="2" t="s">
        <v>39</v>
      </c>
      <c r="N4" s="2" t="s">
        <v>39</v>
      </c>
      <c r="O4" s="2" t="s">
        <v>104</v>
      </c>
    </row>
    <row r="5" spans="2:7" ht="12.75">
      <c r="B5" s="2" t="s">
        <v>31</v>
      </c>
      <c r="C5" s="2"/>
      <c r="D5" s="2"/>
      <c r="E5" s="2"/>
      <c r="F5" s="2"/>
      <c r="G5" s="2"/>
    </row>
    <row r="7" spans="1:19" ht="12.75">
      <c r="A7" s="43" t="s">
        <v>0</v>
      </c>
      <c r="B7" s="1">
        <v>9196</v>
      </c>
      <c r="C7" s="1">
        <v>34378</v>
      </c>
      <c r="D7" s="1">
        <v>18667</v>
      </c>
      <c r="E7" s="1"/>
      <c r="F7" s="1">
        <f>11034+10001</f>
        <v>21035</v>
      </c>
      <c r="G7" s="1">
        <v>0</v>
      </c>
      <c r="H7" s="1">
        <v>43178</v>
      </c>
      <c r="I7" s="1">
        <v>91387</v>
      </c>
      <c r="J7" s="1">
        <f>B7+C7+H7+I7</f>
        <v>178139</v>
      </c>
      <c r="K7" s="27">
        <v>4.94</v>
      </c>
      <c r="L7" s="27">
        <v>4.94</v>
      </c>
      <c r="M7" s="29">
        <v>37</v>
      </c>
      <c r="N7" s="29">
        <v>90</v>
      </c>
      <c r="O7" s="1">
        <f>((K7*M7)+(L7*N7))*12</f>
        <v>7528.5599999999995</v>
      </c>
      <c r="R7">
        <f>K7*M7</f>
        <v>182.78</v>
      </c>
      <c r="S7" s="27">
        <f>L7*N7</f>
        <v>444.6</v>
      </c>
    </row>
    <row r="8" spans="1:19" ht="12.75">
      <c r="A8" s="43" t="s">
        <v>1</v>
      </c>
      <c r="B8" s="1">
        <v>212919</v>
      </c>
      <c r="C8" s="1">
        <v>284938</v>
      </c>
      <c r="D8" s="1">
        <v>257112</v>
      </c>
      <c r="E8" s="1"/>
      <c r="F8" s="1">
        <f>49491+2675</f>
        <v>52166</v>
      </c>
      <c r="G8" s="1">
        <v>36098</v>
      </c>
      <c r="H8" s="1">
        <v>183715</v>
      </c>
      <c r="I8" s="1">
        <v>289934</v>
      </c>
      <c r="J8" s="1">
        <f aca="true" t="shared" si="0" ref="J8:J42">B8+C8+H8+I8</f>
        <v>971506</v>
      </c>
      <c r="K8" s="27">
        <v>25.18</v>
      </c>
      <c r="L8" s="27">
        <v>15.44</v>
      </c>
      <c r="M8" s="29">
        <v>148</v>
      </c>
      <c r="N8" s="29">
        <v>939</v>
      </c>
      <c r="O8" s="1">
        <f aca="true" t="shared" si="1" ref="O8:O34">((K8*M8)+(L8*N8))*12</f>
        <v>218697.59999999998</v>
      </c>
      <c r="R8">
        <f aca="true" t="shared" si="2" ref="R8:R34">K8*M8</f>
        <v>3726.64</v>
      </c>
      <c r="S8" s="27">
        <f aca="true" t="shared" si="3" ref="S8:S34">L8*N8</f>
        <v>14498.16</v>
      </c>
    </row>
    <row r="9" spans="1:19" ht="12.75">
      <c r="A9" s="43" t="s">
        <v>2</v>
      </c>
      <c r="B9" s="1">
        <v>282976</v>
      </c>
      <c r="C9" s="1">
        <v>103373</v>
      </c>
      <c r="D9" s="1">
        <v>81825</v>
      </c>
      <c r="E9" s="1"/>
      <c r="F9" s="1">
        <f>104601+12434</f>
        <v>117035</v>
      </c>
      <c r="G9" s="1">
        <v>53488</v>
      </c>
      <c r="H9" s="1">
        <v>281849</v>
      </c>
      <c r="I9" s="1">
        <v>611239</v>
      </c>
      <c r="J9" s="1">
        <f t="shared" si="0"/>
        <v>1279437</v>
      </c>
      <c r="K9" s="27">
        <v>20.14</v>
      </c>
      <c r="L9" s="27">
        <v>13.59</v>
      </c>
      <c r="M9" s="29">
        <v>215</v>
      </c>
      <c r="N9" s="29">
        <v>1186</v>
      </c>
      <c r="O9" s="1">
        <f t="shared" si="1"/>
        <v>245374.08000000002</v>
      </c>
      <c r="R9">
        <f t="shared" si="2"/>
        <v>4330.1</v>
      </c>
      <c r="S9" s="27">
        <f t="shared" si="3"/>
        <v>16117.74</v>
      </c>
    </row>
    <row r="10" spans="1:19" ht="12.75">
      <c r="A10" s="43" t="s">
        <v>3</v>
      </c>
      <c r="B10" s="1">
        <v>301484</v>
      </c>
      <c r="C10" s="1">
        <v>328658</v>
      </c>
      <c r="D10" s="1">
        <v>309036</v>
      </c>
      <c r="E10" s="1"/>
      <c r="F10" s="1">
        <f>120601+11134</f>
        <v>131735</v>
      </c>
      <c r="G10" s="1">
        <v>505039</v>
      </c>
      <c r="H10" s="1">
        <v>105894</v>
      </c>
      <c r="I10" s="1">
        <v>183382</v>
      </c>
      <c r="J10" s="1">
        <f t="shared" si="0"/>
        <v>919418</v>
      </c>
      <c r="K10" s="27">
        <v>22.11</v>
      </c>
      <c r="L10" s="27">
        <v>16.11</v>
      </c>
      <c r="M10" s="29">
        <v>127</v>
      </c>
      <c r="N10" s="29">
        <v>927</v>
      </c>
      <c r="O10" s="1">
        <f t="shared" si="1"/>
        <v>212903.27999999997</v>
      </c>
      <c r="R10">
        <f t="shared" si="2"/>
        <v>2807.97</v>
      </c>
      <c r="S10" s="27">
        <f t="shared" si="3"/>
        <v>14933.97</v>
      </c>
    </row>
    <row r="11" spans="1:19" ht="12.75">
      <c r="A11" s="43" t="s">
        <v>4</v>
      </c>
      <c r="B11" s="1">
        <f>1743385</f>
        <v>1743385</v>
      </c>
      <c r="C11" s="1">
        <v>353543</v>
      </c>
      <c r="D11" s="1">
        <v>2020187</v>
      </c>
      <c r="E11" s="1"/>
      <c r="F11" s="1">
        <f>352649+63835</f>
        <v>416484</v>
      </c>
      <c r="G11" s="1">
        <v>0</v>
      </c>
      <c r="H11" s="1">
        <v>281128</v>
      </c>
      <c r="I11" s="1">
        <v>4664446</v>
      </c>
      <c r="J11" s="1">
        <f t="shared" si="0"/>
        <v>7042502</v>
      </c>
      <c r="K11" s="27">
        <v>24.31</v>
      </c>
      <c r="L11" s="27">
        <v>11.77</v>
      </c>
      <c r="M11" s="29">
        <v>3351</v>
      </c>
      <c r="N11" s="29">
        <v>6875</v>
      </c>
      <c r="O11" s="1">
        <f t="shared" si="1"/>
        <v>1948578.72</v>
      </c>
      <c r="R11">
        <f t="shared" si="2"/>
        <v>81462.81</v>
      </c>
      <c r="S11" s="27">
        <f t="shared" si="3"/>
        <v>80918.75</v>
      </c>
    </row>
    <row r="12" spans="1:19" ht="12.75">
      <c r="A12" s="43" t="s">
        <v>5</v>
      </c>
      <c r="B12" s="1">
        <f>19129068</f>
        <v>19129068</v>
      </c>
      <c r="C12" s="1">
        <v>5408176</v>
      </c>
      <c r="D12" s="1">
        <v>20386756</v>
      </c>
      <c r="E12" s="1">
        <v>1283777</v>
      </c>
      <c r="F12" s="1">
        <f>2137522+561526</f>
        <v>2699048</v>
      </c>
      <c r="G12" s="1">
        <v>0</v>
      </c>
      <c r="H12" s="1">
        <v>8133154</v>
      </c>
      <c r="I12" s="1">
        <v>45181440</v>
      </c>
      <c r="J12" s="1">
        <f t="shared" si="0"/>
        <v>77851838</v>
      </c>
      <c r="K12" s="27">
        <v>36.79</v>
      </c>
      <c r="L12" s="27">
        <v>14.74</v>
      </c>
      <c r="M12" s="29">
        <v>22064</v>
      </c>
      <c r="N12" s="29">
        <v>61285</v>
      </c>
      <c r="O12" s="1">
        <f t="shared" si="1"/>
        <v>20580905.52</v>
      </c>
      <c r="R12">
        <f t="shared" si="2"/>
        <v>811734.5599999999</v>
      </c>
      <c r="S12" s="27">
        <f t="shared" si="3"/>
        <v>903340.9</v>
      </c>
    </row>
    <row r="13" spans="1:19" ht="12.75">
      <c r="A13" s="43" t="s">
        <v>6</v>
      </c>
      <c r="B13" s="1">
        <v>348491</v>
      </c>
      <c r="C13" s="1">
        <v>650731</v>
      </c>
      <c r="D13" s="1">
        <v>582969</v>
      </c>
      <c r="E13" s="1"/>
      <c r="F13" s="1">
        <f>48055+11796</f>
        <v>59851</v>
      </c>
      <c r="G13" s="1">
        <v>541</v>
      </c>
      <c r="H13" s="1">
        <v>210997</v>
      </c>
      <c r="I13" s="1">
        <v>581945</v>
      </c>
      <c r="J13" s="1">
        <f t="shared" si="0"/>
        <v>1792164</v>
      </c>
      <c r="K13" s="27">
        <v>32.28</v>
      </c>
      <c r="L13" s="27">
        <v>18.98</v>
      </c>
      <c r="M13" s="29">
        <v>309</v>
      </c>
      <c r="N13" s="29">
        <v>1073</v>
      </c>
      <c r="O13" s="1">
        <f t="shared" si="1"/>
        <v>364080.72000000003</v>
      </c>
      <c r="R13">
        <f t="shared" si="2"/>
        <v>9974.52</v>
      </c>
      <c r="S13" s="27">
        <f t="shared" si="3"/>
        <v>20365.54</v>
      </c>
    </row>
    <row r="14" spans="1:19" ht="12.75">
      <c r="A14" s="43" t="s">
        <v>7</v>
      </c>
      <c r="B14" s="1">
        <v>1842029</v>
      </c>
      <c r="C14" s="1">
        <v>490425</v>
      </c>
      <c r="D14" s="1">
        <v>1089977</v>
      </c>
      <c r="E14" s="1">
        <v>120928</v>
      </c>
      <c r="F14" s="1">
        <f>403969+87388</f>
        <v>491357</v>
      </c>
      <c r="G14" s="1">
        <v>0</v>
      </c>
      <c r="H14" s="1">
        <v>1088543</v>
      </c>
      <c r="I14" s="1">
        <v>3221852</v>
      </c>
      <c r="J14" s="1">
        <f t="shared" si="0"/>
        <v>6642849</v>
      </c>
      <c r="K14" s="27">
        <v>24.93</v>
      </c>
      <c r="L14" s="27">
        <v>14.07</v>
      </c>
      <c r="M14" s="29">
        <v>2356</v>
      </c>
      <c r="N14" s="29">
        <v>7957</v>
      </c>
      <c r="O14" s="1">
        <f t="shared" si="1"/>
        <v>2048280.84</v>
      </c>
      <c r="R14">
        <f t="shared" si="2"/>
        <v>58735.08</v>
      </c>
      <c r="S14" s="27">
        <f t="shared" si="3"/>
        <v>111954.99</v>
      </c>
    </row>
    <row r="15" spans="1:19" ht="12.75">
      <c r="A15" s="43" t="s">
        <v>8</v>
      </c>
      <c r="B15" s="1">
        <v>940721</v>
      </c>
      <c r="C15" s="1">
        <v>383436</v>
      </c>
      <c r="D15" s="1">
        <v>231756</v>
      </c>
      <c r="E15" s="1"/>
      <c r="F15" s="1">
        <f>441263+43025</f>
        <v>484288</v>
      </c>
      <c r="G15" s="1">
        <v>55334</v>
      </c>
      <c r="H15" s="1">
        <v>889160</v>
      </c>
      <c r="I15" s="1">
        <v>1681993</v>
      </c>
      <c r="J15" s="1">
        <f t="shared" si="0"/>
        <v>3895310</v>
      </c>
      <c r="K15" s="27">
        <v>16.03</v>
      </c>
      <c r="L15" s="27">
        <v>13.36</v>
      </c>
      <c r="M15" s="29">
        <v>1327</v>
      </c>
      <c r="N15" s="29">
        <v>3931</v>
      </c>
      <c r="O15" s="1">
        <f t="shared" si="1"/>
        <v>885479.64</v>
      </c>
      <c r="R15">
        <f t="shared" si="2"/>
        <v>21271.81</v>
      </c>
      <c r="S15" s="27">
        <f t="shared" si="3"/>
        <v>52518.159999999996</v>
      </c>
    </row>
    <row r="16" spans="1:19" ht="12.75">
      <c r="A16" s="43" t="s">
        <v>9</v>
      </c>
      <c r="B16" s="1">
        <v>924919</v>
      </c>
      <c r="C16" s="1">
        <v>589174</v>
      </c>
      <c r="D16" s="1">
        <v>198265</v>
      </c>
      <c r="E16" s="1"/>
      <c r="F16" s="1">
        <f>180951+34589</f>
        <v>215540</v>
      </c>
      <c r="G16" s="1">
        <v>84806</v>
      </c>
      <c r="H16" s="1">
        <v>378150</v>
      </c>
      <c r="I16" s="1">
        <v>930468</v>
      </c>
      <c r="J16" s="1">
        <f t="shared" si="0"/>
        <v>2822711</v>
      </c>
      <c r="K16" s="27">
        <v>30.6</v>
      </c>
      <c r="L16" s="27">
        <v>15.4</v>
      </c>
      <c r="M16" s="29">
        <v>427</v>
      </c>
      <c r="N16" s="29">
        <v>4235</v>
      </c>
      <c r="O16" s="1">
        <f t="shared" si="1"/>
        <v>939422.3999999999</v>
      </c>
      <c r="R16">
        <f t="shared" si="2"/>
        <v>13066.2</v>
      </c>
      <c r="S16" s="27">
        <f t="shared" si="3"/>
        <v>65219</v>
      </c>
    </row>
    <row r="17" spans="1:19" ht="12.75">
      <c r="A17" s="43" t="s">
        <v>10</v>
      </c>
      <c r="B17" s="1">
        <v>163150</v>
      </c>
      <c r="C17" s="1">
        <v>402210</v>
      </c>
      <c r="D17" s="1">
        <v>364208</v>
      </c>
      <c r="E17" s="1"/>
      <c r="F17" s="1">
        <f>18685+9316</f>
        <v>28001</v>
      </c>
      <c r="G17" s="1">
        <v>11309</v>
      </c>
      <c r="H17" s="1">
        <v>68138</v>
      </c>
      <c r="I17" s="1">
        <v>166843</v>
      </c>
      <c r="J17" s="1">
        <f t="shared" si="0"/>
        <v>800341</v>
      </c>
      <c r="K17" s="27">
        <v>25.12</v>
      </c>
      <c r="L17" s="27">
        <v>16.74</v>
      </c>
      <c r="M17" s="29">
        <v>251</v>
      </c>
      <c r="N17" s="29">
        <v>414</v>
      </c>
      <c r="O17" s="1">
        <f t="shared" si="1"/>
        <v>158825.76</v>
      </c>
      <c r="R17">
        <f t="shared" si="2"/>
        <v>6305.12</v>
      </c>
      <c r="S17" s="27">
        <f t="shared" si="3"/>
        <v>6930.36</v>
      </c>
    </row>
    <row r="18" spans="1:19" ht="12.75">
      <c r="A18" s="43" t="s">
        <v>11</v>
      </c>
      <c r="B18" s="1">
        <v>1954</v>
      </c>
      <c r="C18" s="1">
        <v>81</v>
      </c>
      <c r="D18" s="1">
        <v>0</v>
      </c>
      <c r="E18" s="1"/>
      <c r="F18" s="1">
        <f>174</f>
        <v>174</v>
      </c>
      <c r="G18" s="1">
        <v>832</v>
      </c>
      <c r="H18" s="1">
        <v>2253</v>
      </c>
      <c r="I18" s="1">
        <v>3243</v>
      </c>
      <c r="J18" s="1">
        <f t="shared" si="0"/>
        <v>7531</v>
      </c>
      <c r="K18" s="27">
        <v>8.25</v>
      </c>
      <c r="L18" s="27">
        <v>5.5</v>
      </c>
      <c r="M18" s="29">
        <v>0</v>
      </c>
      <c r="N18" s="29">
        <v>8</v>
      </c>
      <c r="O18" s="1">
        <f t="shared" si="1"/>
        <v>528</v>
      </c>
      <c r="R18">
        <f t="shared" si="2"/>
        <v>0</v>
      </c>
      <c r="S18" s="27">
        <f t="shared" si="3"/>
        <v>44</v>
      </c>
    </row>
    <row r="19" spans="1:19" ht="12.75">
      <c r="A19" s="43" t="s">
        <v>25</v>
      </c>
      <c r="B19" s="1">
        <v>376762</v>
      </c>
      <c r="C19" s="1">
        <v>8004</v>
      </c>
      <c r="D19" s="1">
        <v>377695</v>
      </c>
      <c r="E19" s="1"/>
      <c r="F19" s="1">
        <f>36967+9997</f>
        <v>46964</v>
      </c>
      <c r="G19" s="1">
        <v>0</v>
      </c>
      <c r="H19" s="1">
        <v>196190</v>
      </c>
      <c r="I19" s="1">
        <v>1048005</v>
      </c>
      <c r="J19" s="1">
        <f t="shared" si="0"/>
        <v>1628961</v>
      </c>
      <c r="K19" s="27">
        <v>20.55</v>
      </c>
      <c r="L19" s="27">
        <v>13.7</v>
      </c>
      <c r="M19" s="29">
        <v>459</v>
      </c>
      <c r="N19" s="29">
        <v>1362</v>
      </c>
      <c r="O19" s="1">
        <f t="shared" si="1"/>
        <v>337102.19999999995</v>
      </c>
      <c r="R19">
        <f t="shared" si="2"/>
        <v>9432.45</v>
      </c>
      <c r="S19" s="27">
        <f t="shared" si="3"/>
        <v>18659.399999999998</v>
      </c>
    </row>
    <row r="20" spans="1:19" ht="12.75">
      <c r="A20" s="43" t="s">
        <v>12</v>
      </c>
      <c r="B20" s="1">
        <v>334134</v>
      </c>
      <c r="C20" s="1">
        <v>329255</v>
      </c>
      <c r="D20" s="1">
        <v>179402</v>
      </c>
      <c r="E20" s="1">
        <v>34590</v>
      </c>
      <c r="F20" s="1">
        <f>72585+5873</f>
        <v>78458</v>
      </c>
      <c r="G20" s="1">
        <v>8233</v>
      </c>
      <c r="H20" s="1">
        <v>291799</v>
      </c>
      <c r="I20" s="1">
        <v>810474</v>
      </c>
      <c r="J20" s="1">
        <f t="shared" si="0"/>
        <v>1765662</v>
      </c>
      <c r="K20" s="27">
        <v>24.81</v>
      </c>
      <c r="L20" s="27">
        <v>16.95</v>
      </c>
      <c r="M20" s="29">
        <v>499</v>
      </c>
      <c r="N20" s="29">
        <v>1112</v>
      </c>
      <c r="O20" s="1">
        <f t="shared" si="1"/>
        <v>374743.07999999996</v>
      </c>
      <c r="R20">
        <f t="shared" si="2"/>
        <v>12380.189999999999</v>
      </c>
      <c r="S20" s="27">
        <f t="shared" si="3"/>
        <v>18848.399999999998</v>
      </c>
    </row>
    <row r="21" spans="1:19" ht="12.75">
      <c r="A21" s="43" t="s">
        <v>13</v>
      </c>
      <c r="B21" s="1">
        <v>151729</v>
      </c>
      <c r="C21" s="1">
        <v>202535</v>
      </c>
      <c r="D21" s="1">
        <v>188468</v>
      </c>
      <c r="E21" s="1"/>
      <c r="F21" s="1">
        <f>50298+9690</f>
        <v>59988</v>
      </c>
      <c r="G21" s="1">
        <v>3110</v>
      </c>
      <c r="H21" s="1">
        <v>77094</v>
      </c>
      <c r="I21" s="1">
        <v>345272</v>
      </c>
      <c r="J21" s="1">
        <f t="shared" si="0"/>
        <v>776630</v>
      </c>
      <c r="K21" s="27">
        <v>30.86</v>
      </c>
      <c r="L21" s="27">
        <v>20.56</v>
      </c>
      <c r="M21" s="29">
        <v>122</v>
      </c>
      <c r="N21" s="29">
        <v>441</v>
      </c>
      <c r="O21" s="1">
        <f t="shared" si="1"/>
        <v>153982.56</v>
      </c>
      <c r="R21">
        <f t="shared" si="2"/>
        <v>3764.92</v>
      </c>
      <c r="S21" s="27">
        <f t="shared" si="3"/>
        <v>9066.96</v>
      </c>
    </row>
    <row r="22" spans="1:19" ht="12.75">
      <c r="A22" s="43" t="s">
        <v>14</v>
      </c>
      <c r="B22" s="1">
        <v>45712</v>
      </c>
      <c r="C22" s="1">
        <v>150185</v>
      </c>
      <c r="D22" s="1">
        <v>69870</v>
      </c>
      <c r="E22" s="1"/>
      <c r="F22" s="1">
        <f>3849+9211</f>
        <v>13060</v>
      </c>
      <c r="G22" s="1">
        <v>3010</v>
      </c>
      <c r="H22" s="1">
        <v>29001</v>
      </c>
      <c r="I22" s="1">
        <v>98066</v>
      </c>
      <c r="J22" s="1">
        <f t="shared" si="0"/>
        <v>322964</v>
      </c>
      <c r="K22" s="27">
        <v>19.85</v>
      </c>
      <c r="L22" s="27">
        <v>15.5</v>
      </c>
      <c r="M22" s="29">
        <v>31</v>
      </c>
      <c r="N22" s="29">
        <v>193</v>
      </c>
      <c r="O22" s="1">
        <f t="shared" si="1"/>
        <v>43282.2</v>
      </c>
      <c r="R22">
        <f t="shared" si="2"/>
        <v>615.35</v>
      </c>
      <c r="S22" s="27">
        <f t="shared" si="3"/>
        <v>2991.5</v>
      </c>
    </row>
    <row r="23" spans="1:19" ht="12.75">
      <c r="A23" s="43" t="s">
        <v>15</v>
      </c>
      <c r="B23" s="1">
        <v>240420</v>
      </c>
      <c r="C23" s="1">
        <v>0</v>
      </c>
      <c r="D23" s="1">
        <v>0</v>
      </c>
      <c r="E23" s="1">
        <v>17603</v>
      </c>
      <c r="F23" s="1">
        <v>27839</v>
      </c>
      <c r="G23" s="1">
        <v>133596</v>
      </c>
      <c r="H23" s="1">
        <v>237132</v>
      </c>
      <c r="I23" s="1">
        <v>621006</v>
      </c>
      <c r="J23" s="1">
        <f t="shared" si="0"/>
        <v>1098558</v>
      </c>
      <c r="K23" s="27">
        <v>11.1</v>
      </c>
      <c r="L23" s="27">
        <v>8.08</v>
      </c>
      <c r="M23" s="29">
        <v>699</v>
      </c>
      <c r="N23" s="29">
        <v>1522</v>
      </c>
      <c r="O23" s="1">
        <f t="shared" si="1"/>
        <v>240679.91999999998</v>
      </c>
      <c r="R23">
        <f t="shared" si="2"/>
        <v>7758.9</v>
      </c>
      <c r="S23" s="27">
        <f t="shared" si="3"/>
        <v>12297.76</v>
      </c>
    </row>
    <row r="24" spans="1:19" ht="12.75">
      <c r="A24" s="43" t="s">
        <v>16</v>
      </c>
      <c r="B24" s="1">
        <v>189050</v>
      </c>
      <c r="C24" s="1">
        <v>239499</v>
      </c>
      <c r="D24" s="1">
        <v>13998</v>
      </c>
      <c r="E24" s="1">
        <v>219121</v>
      </c>
      <c r="F24" s="1">
        <f>19170+12090</f>
        <v>31260</v>
      </c>
      <c r="G24" s="1">
        <v>40367</v>
      </c>
      <c r="H24" s="1">
        <v>92816</v>
      </c>
      <c r="I24" s="1">
        <v>262507</v>
      </c>
      <c r="J24" s="1">
        <f t="shared" si="0"/>
        <v>783872</v>
      </c>
      <c r="K24" s="27">
        <v>18.63</v>
      </c>
      <c r="L24" s="27">
        <v>17.05</v>
      </c>
      <c r="M24" s="29">
        <v>71</v>
      </c>
      <c r="N24" s="29">
        <v>821</v>
      </c>
      <c r="O24" s="1">
        <f t="shared" si="1"/>
        <v>183849.36000000002</v>
      </c>
      <c r="R24">
        <f t="shared" si="2"/>
        <v>1322.73</v>
      </c>
      <c r="S24" s="27">
        <f t="shared" si="3"/>
        <v>13998.050000000001</v>
      </c>
    </row>
    <row r="25" spans="1:19" ht="12.75">
      <c r="A25" s="43" t="s">
        <v>17</v>
      </c>
      <c r="B25" s="1">
        <v>416328</v>
      </c>
      <c r="C25" s="1">
        <v>891912</v>
      </c>
      <c r="D25" s="1">
        <v>809205</v>
      </c>
      <c r="E25" s="1"/>
      <c r="F25" s="1">
        <f>94522+33890</f>
        <v>128412</v>
      </c>
      <c r="G25" s="1">
        <v>51590</v>
      </c>
      <c r="H25" s="1">
        <v>303858</v>
      </c>
      <c r="I25" s="1">
        <v>684709</v>
      </c>
      <c r="J25" s="1">
        <f t="shared" si="0"/>
        <v>2296807</v>
      </c>
      <c r="K25" s="27">
        <v>25.25</v>
      </c>
      <c r="L25" s="27">
        <v>20.62</v>
      </c>
      <c r="M25" s="29">
        <v>376</v>
      </c>
      <c r="N25" s="29">
        <v>1198</v>
      </c>
      <c r="O25" s="1">
        <f t="shared" si="1"/>
        <v>410361.12</v>
      </c>
      <c r="R25">
        <f t="shared" si="2"/>
        <v>9494</v>
      </c>
      <c r="S25" s="27">
        <f t="shared" si="3"/>
        <v>24702.760000000002</v>
      </c>
    </row>
    <row r="26" spans="1:19" ht="12.75">
      <c r="A26" s="43" t="s">
        <v>26</v>
      </c>
      <c r="B26" s="1">
        <v>48178</v>
      </c>
      <c r="C26" s="1">
        <v>119385</v>
      </c>
      <c r="D26" s="1">
        <v>15918</v>
      </c>
      <c r="E26" s="1">
        <v>70764</v>
      </c>
      <c r="F26" s="1">
        <f>6868+2386</f>
        <v>9254</v>
      </c>
      <c r="G26" s="1">
        <v>1042</v>
      </c>
      <c r="H26" s="1">
        <v>129828</v>
      </c>
      <c r="I26" s="1">
        <v>149748</v>
      </c>
      <c r="J26" s="1">
        <f t="shared" si="0"/>
        <v>447139</v>
      </c>
      <c r="K26" s="27">
        <v>25.95</v>
      </c>
      <c r="L26" s="27">
        <v>20.65</v>
      </c>
      <c r="M26" s="29">
        <v>48</v>
      </c>
      <c r="N26" s="29">
        <v>123</v>
      </c>
      <c r="O26" s="1">
        <f t="shared" si="1"/>
        <v>45426.6</v>
      </c>
      <c r="R26">
        <f t="shared" si="2"/>
        <v>1245.6</v>
      </c>
      <c r="S26" s="27">
        <f t="shared" si="3"/>
        <v>2539.95</v>
      </c>
    </row>
    <row r="27" spans="1:19" ht="12.75">
      <c r="A27" s="43" t="s">
        <v>18</v>
      </c>
      <c r="B27" s="1">
        <v>48237</v>
      </c>
      <c r="C27" s="1">
        <v>290424</v>
      </c>
      <c r="D27" s="1">
        <v>149761</v>
      </c>
      <c r="E27" s="1"/>
      <c r="F27" s="1">
        <f>8653+6719</f>
        <v>15372</v>
      </c>
      <c r="G27" s="1">
        <v>12629</v>
      </c>
      <c r="H27" s="1">
        <v>67504</v>
      </c>
      <c r="I27" s="1">
        <v>44857</v>
      </c>
      <c r="J27" s="1">
        <f t="shared" si="0"/>
        <v>451022</v>
      </c>
      <c r="K27" s="27">
        <v>10.5</v>
      </c>
      <c r="L27" s="27">
        <v>10.5</v>
      </c>
      <c r="M27" s="29">
        <v>89</v>
      </c>
      <c r="N27" s="29">
        <v>211</v>
      </c>
      <c r="O27" s="1">
        <f t="shared" si="1"/>
        <v>37800</v>
      </c>
      <c r="R27">
        <f t="shared" si="2"/>
        <v>934.5</v>
      </c>
      <c r="S27" s="27">
        <f t="shared" si="3"/>
        <v>2215.5</v>
      </c>
    </row>
    <row r="28" spans="1:19" ht="12.75">
      <c r="A28" s="43" t="s">
        <v>27</v>
      </c>
      <c r="B28" s="1">
        <v>631982</v>
      </c>
      <c r="C28" s="1">
        <v>855073</v>
      </c>
      <c r="D28" s="1">
        <v>703535</v>
      </c>
      <c r="E28" s="1"/>
      <c r="F28" s="1">
        <f>51300+21368</f>
        <v>72668</v>
      </c>
      <c r="G28" s="1">
        <v>0</v>
      </c>
      <c r="H28" s="1">
        <v>174220</v>
      </c>
      <c r="I28" s="1">
        <v>1174393</v>
      </c>
      <c r="J28" s="1">
        <f t="shared" si="0"/>
        <v>2835668</v>
      </c>
      <c r="K28" s="27">
        <v>39.4</v>
      </c>
      <c r="L28" s="27">
        <v>19.7</v>
      </c>
      <c r="M28" s="29">
        <v>417</v>
      </c>
      <c r="N28" s="29">
        <v>1922</v>
      </c>
      <c r="O28" s="1">
        <f t="shared" si="1"/>
        <v>651518.3999999999</v>
      </c>
      <c r="R28">
        <f t="shared" si="2"/>
        <v>16429.8</v>
      </c>
      <c r="S28" s="27">
        <f t="shared" si="3"/>
        <v>37863.4</v>
      </c>
    </row>
    <row r="29" spans="1:19" ht="12.75">
      <c r="A29" s="43" t="s">
        <v>19</v>
      </c>
      <c r="B29" s="1">
        <v>33216</v>
      </c>
      <c r="C29" s="1">
        <v>307837</v>
      </c>
      <c r="D29" s="1">
        <v>302459</v>
      </c>
      <c r="E29" s="1"/>
      <c r="F29" s="1">
        <f>3345+1778</f>
        <v>5123</v>
      </c>
      <c r="G29" s="1">
        <v>0</v>
      </c>
      <c r="H29" s="1">
        <v>14340</v>
      </c>
      <c r="I29" s="1">
        <v>231758</v>
      </c>
      <c r="J29" s="1">
        <f t="shared" si="0"/>
        <v>587151</v>
      </c>
      <c r="K29" s="27">
        <v>39.98</v>
      </c>
      <c r="L29" s="27">
        <v>29.98</v>
      </c>
      <c r="M29" s="29">
        <v>15</v>
      </c>
      <c r="N29" s="29">
        <v>102</v>
      </c>
      <c r="O29" s="1">
        <f t="shared" si="1"/>
        <v>43891.92</v>
      </c>
      <c r="R29">
        <f t="shared" si="2"/>
        <v>599.6999999999999</v>
      </c>
      <c r="S29" s="27">
        <f t="shared" si="3"/>
        <v>3057.96</v>
      </c>
    </row>
    <row r="30" spans="1:19" ht="12.75">
      <c r="A30" s="43" t="s">
        <v>20</v>
      </c>
      <c r="B30" s="1">
        <v>16751</v>
      </c>
      <c r="C30" s="1">
        <v>36435</v>
      </c>
      <c r="D30" s="1">
        <v>13519</v>
      </c>
      <c r="E30" s="1"/>
      <c r="F30" s="1">
        <v>2111</v>
      </c>
      <c r="G30" s="1">
        <v>0</v>
      </c>
      <c r="H30" s="1">
        <v>11213</v>
      </c>
      <c r="I30" s="1">
        <v>70912</v>
      </c>
      <c r="J30" s="1">
        <f t="shared" si="0"/>
        <v>135311</v>
      </c>
      <c r="K30" s="27">
        <v>16.26</v>
      </c>
      <c r="L30" s="27">
        <v>16.26</v>
      </c>
      <c r="M30" s="29">
        <v>7</v>
      </c>
      <c r="N30" s="29">
        <v>69</v>
      </c>
      <c r="O30" s="1">
        <f t="shared" si="1"/>
        <v>14829.119999999999</v>
      </c>
      <c r="R30">
        <f t="shared" si="2"/>
        <v>113.82000000000001</v>
      </c>
      <c r="S30" s="27">
        <f t="shared" si="3"/>
        <v>1121.94</v>
      </c>
    </row>
    <row r="31" spans="1:19" ht="12.75">
      <c r="A31" s="43" t="s">
        <v>21</v>
      </c>
      <c r="B31" s="1">
        <v>338501</v>
      </c>
      <c r="C31" s="1">
        <v>80113</v>
      </c>
      <c r="D31" s="1">
        <v>271417</v>
      </c>
      <c r="E31" s="1"/>
      <c r="F31" s="1">
        <f>87275+11241</f>
        <v>98516</v>
      </c>
      <c r="G31" s="1">
        <v>0</v>
      </c>
      <c r="H31" s="1">
        <v>279156</v>
      </c>
      <c r="I31" s="1">
        <v>716659</v>
      </c>
      <c r="J31" s="1">
        <f t="shared" si="0"/>
        <v>1414429</v>
      </c>
      <c r="K31" s="27">
        <v>26.4</v>
      </c>
      <c r="L31" s="27">
        <v>16.4</v>
      </c>
      <c r="M31" s="29">
        <v>407</v>
      </c>
      <c r="N31" s="29">
        <v>1229</v>
      </c>
      <c r="O31" s="1">
        <f t="shared" si="1"/>
        <v>370804.8</v>
      </c>
      <c r="R31">
        <f t="shared" si="2"/>
        <v>10744.8</v>
      </c>
      <c r="S31" s="27">
        <f t="shared" si="3"/>
        <v>20155.6</v>
      </c>
    </row>
    <row r="32" spans="1:19" ht="12.75">
      <c r="A32" s="43" t="s">
        <v>22</v>
      </c>
      <c r="B32" s="1">
        <v>59333</v>
      </c>
      <c r="C32" s="1">
        <v>135655</v>
      </c>
      <c r="D32" s="1">
        <v>126243</v>
      </c>
      <c r="E32" s="1"/>
      <c r="F32" s="1">
        <f>21359+4722</f>
        <v>26081</v>
      </c>
      <c r="G32" s="1">
        <v>1062</v>
      </c>
      <c r="H32" s="1">
        <v>71268</v>
      </c>
      <c r="I32" s="1">
        <v>288935</v>
      </c>
      <c r="J32" s="1">
        <f t="shared" si="0"/>
        <v>555191</v>
      </c>
      <c r="K32" s="27">
        <v>18.34</v>
      </c>
      <c r="L32" s="27">
        <v>12.22</v>
      </c>
      <c r="M32" s="29">
        <v>91</v>
      </c>
      <c r="N32" s="29">
        <v>250</v>
      </c>
      <c r="O32" s="1">
        <f t="shared" si="1"/>
        <v>56687.280000000006</v>
      </c>
      <c r="R32">
        <f t="shared" si="2"/>
        <v>1668.94</v>
      </c>
      <c r="S32" s="27">
        <f t="shared" si="3"/>
        <v>3055</v>
      </c>
    </row>
    <row r="33" spans="1:19" ht="12.75">
      <c r="A33" s="43" t="s">
        <v>23</v>
      </c>
      <c r="B33" s="1">
        <v>420930</v>
      </c>
      <c r="C33" s="1">
        <v>138303</v>
      </c>
      <c r="D33" s="1">
        <v>100836</v>
      </c>
      <c r="E33" s="1"/>
      <c r="F33" s="1">
        <f>52753+29772</f>
        <v>82525</v>
      </c>
      <c r="G33" s="1">
        <v>36914</v>
      </c>
      <c r="H33" s="1">
        <v>220618</v>
      </c>
      <c r="I33" s="1">
        <v>755797</v>
      </c>
      <c r="J33" s="1">
        <f t="shared" si="0"/>
        <v>1535648</v>
      </c>
      <c r="K33" s="27">
        <v>23.84</v>
      </c>
      <c r="L33" s="27">
        <v>19.84</v>
      </c>
      <c r="M33" s="29">
        <v>353</v>
      </c>
      <c r="N33" s="29">
        <v>1316</v>
      </c>
      <c r="O33" s="1">
        <f t="shared" si="1"/>
        <v>414299.52</v>
      </c>
      <c r="R33">
        <f t="shared" si="2"/>
        <v>8415.52</v>
      </c>
      <c r="S33" s="27">
        <f t="shared" si="3"/>
        <v>26109.44</v>
      </c>
    </row>
    <row r="34" spans="1:19" ht="12.75">
      <c r="A34" s="43" t="s">
        <v>24</v>
      </c>
      <c r="B34" s="1">
        <v>15506</v>
      </c>
      <c r="C34" s="1">
        <v>394</v>
      </c>
      <c r="D34" s="1">
        <v>12605</v>
      </c>
      <c r="E34" s="1"/>
      <c r="F34" s="1">
        <v>6300</v>
      </c>
      <c r="G34" s="1">
        <v>0</v>
      </c>
      <c r="H34" s="1">
        <v>22343</v>
      </c>
      <c r="I34" s="1">
        <v>98658</v>
      </c>
      <c r="J34" s="1">
        <f t="shared" si="0"/>
        <v>136901</v>
      </c>
      <c r="K34" s="27">
        <v>16.27</v>
      </c>
      <c r="L34" s="27">
        <v>16.27</v>
      </c>
      <c r="M34" s="29">
        <v>0</v>
      </c>
      <c r="N34" s="29">
        <v>69</v>
      </c>
      <c r="O34" s="1">
        <f t="shared" si="1"/>
        <v>13471.559999999998</v>
      </c>
      <c r="R34">
        <f t="shared" si="2"/>
        <v>0</v>
      </c>
      <c r="S34" s="27">
        <f t="shared" si="3"/>
        <v>1122.6299999999999</v>
      </c>
    </row>
    <row r="35" spans="1:15" ht="12.75">
      <c r="A35" s="43"/>
      <c r="B35" s="1"/>
      <c r="C35" s="1"/>
      <c r="D35" s="1"/>
      <c r="E35" s="1"/>
      <c r="F35" s="1"/>
      <c r="G35" s="1"/>
      <c r="H35" s="1"/>
      <c r="I35" s="1"/>
      <c r="J35" s="1" t="s">
        <v>31</v>
      </c>
      <c r="K35" s="1"/>
      <c r="L35" s="1"/>
      <c r="O35" s="1" t="s">
        <v>31</v>
      </c>
    </row>
    <row r="36" spans="1:19" ht="12.75">
      <c r="A36" s="43" t="s">
        <v>125</v>
      </c>
      <c r="B36" s="1">
        <f aca="true" t="shared" si="4" ref="B36:I36">SUM(B7:B35)</f>
        <v>29267061</v>
      </c>
      <c r="C36" s="1">
        <f t="shared" si="4"/>
        <v>12814132</v>
      </c>
      <c r="D36" s="1">
        <f t="shared" si="4"/>
        <v>28875689</v>
      </c>
      <c r="E36" s="1">
        <f t="shared" si="4"/>
        <v>1746783</v>
      </c>
      <c r="F36" s="1">
        <f t="shared" si="4"/>
        <v>5420645</v>
      </c>
      <c r="G36" s="1">
        <f t="shared" si="4"/>
        <v>1039000</v>
      </c>
      <c r="H36" s="1">
        <f t="shared" si="4"/>
        <v>13884539</v>
      </c>
      <c r="I36" s="1">
        <f t="shared" si="4"/>
        <v>65009928</v>
      </c>
      <c r="J36" s="1">
        <f t="shared" si="0"/>
        <v>120975660</v>
      </c>
      <c r="K36" s="27">
        <f>AVERAGE(K7:K34)</f>
        <v>22.809642857142858</v>
      </c>
      <c r="L36" s="27">
        <f>AVERAGE(L7:L34)</f>
        <v>15.53285714285714</v>
      </c>
      <c r="M36" s="6">
        <f>SUM(M7:M35)</f>
        <v>34296</v>
      </c>
      <c r="N36" s="6">
        <f>SUM(N7:N35)</f>
        <v>100860</v>
      </c>
      <c r="O36" s="1">
        <f>SUM(O7:O35)</f>
        <v>31003334.759999998</v>
      </c>
      <c r="R36" s="39">
        <f>SUM(R7:R34)/M36</f>
        <v>32.030522801492886</v>
      </c>
      <c r="S36" s="45">
        <f>SUM(S7:S34)/N36</f>
        <v>14.724295260757481</v>
      </c>
    </row>
    <row r="37" spans="1:10" ht="12.75">
      <c r="A37" s="43"/>
      <c r="J37" s="1" t="s">
        <v>31</v>
      </c>
    </row>
    <row r="38" spans="1:10" ht="12.75">
      <c r="A38" s="43"/>
      <c r="J38" s="1" t="s">
        <v>31</v>
      </c>
    </row>
    <row r="39" spans="1:10" ht="12.75">
      <c r="A39" s="43"/>
      <c r="B39" s="19" t="s">
        <v>31</v>
      </c>
      <c r="C39" s="19"/>
      <c r="D39" s="19"/>
      <c r="E39" s="19"/>
      <c r="F39" s="19"/>
      <c r="G39" s="19"/>
      <c r="H39" t="s">
        <v>31</v>
      </c>
      <c r="J39" s="1" t="s">
        <v>31</v>
      </c>
    </row>
    <row r="40" spans="1:10" ht="12.75">
      <c r="A40" s="43"/>
      <c r="J40" s="1" t="s">
        <v>31</v>
      </c>
    </row>
    <row r="41" spans="1:10" ht="12.75">
      <c r="A41" s="43"/>
      <c r="J41" s="1" t="s">
        <v>31</v>
      </c>
    </row>
    <row r="42" spans="1:15" ht="12.75">
      <c r="A42" s="43" t="s">
        <v>57</v>
      </c>
      <c r="B42" s="1">
        <v>824580969</v>
      </c>
      <c r="C42" s="1">
        <f>271780337+79556</f>
        <v>271859893</v>
      </c>
      <c r="D42" s="40">
        <v>1161612</v>
      </c>
      <c r="E42" s="1">
        <v>57974812</v>
      </c>
      <c r="F42" s="1">
        <f>427867051-116586311</f>
        <v>311280740</v>
      </c>
      <c r="G42" s="1">
        <v>116586311</v>
      </c>
      <c r="H42" s="1">
        <v>95728669</v>
      </c>
      <c r="I42" s="1">
        <v>574651679</v>
      </c>
      <c r="J42" s="1">
        <f t="shared" si="0"/>
        <v>1766821210</v>
      </c>
      <c r="K42" s="27">
        <v>34.6</v>
      </c>
      <c r="L42" s="27">
        <v>14.91</v>
      </c>
      <c r="M42" s="6">
        <f>946243-24776</f>
        <v>921467</v>
      </c>
      <c r="N42" s="6">
        <v>1899646</v>
      </c>
      <c r="O42" s="1">
        <f>(K42*M42)+(L42*N42)*12</f>
        <v>371767420.52</v>
      </c>
    </row>
  </sheetData>
  <printOptions gridLines="1" headings="1"/>
  <pageMargins left="0.5" right="0.5" top="1" bottom="0.5" header="0.5" footer="0.5"/>
  <pageSetup fitToHeight="1" fitToWidth="1" horizontalDpi="600" verticalDpi="600" orientation="landscape" scale="69" r:id="rId1"/>
  <headerFooter alignWithMargins="0">
    <oddHeader>&amp;C&amp;"Arial,Bold"&amp;16APPENDIX 2:   2000 ILEC REVENUES BY CATEGORY&amp;RPage 1 of 1</oddHeader>
    <oddFooter>&amp;LCenturyTel of Eagle's local rates are based on Rate Group I, which covers the majority of exchanges in the company's service area
Source:  2000 annual reports filed with Colorado PUC.  The above numbers were not audited by the PUC.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B2">
      <selection activeCell="G24" sqref="G24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8515625" style="0" customWidth="1"/>
    <col min="7" max="7" width="15.57421875" style="0" customWidth="1"/>
    <col min="8" max="8" width="14.00390625" style="0" customWidth="1"/>
  </cols>
  <sheetData>
    <row r="1" spans="2:8" ht="12.75">
      <c r="B1" s="26" t="s">
        <v>89</v>
      </c>
      <c r="C1" s="26" t="s">
        <v>59</v>
      </c>
      <c r="D1" s="26" t="s">
        <v>92</v>
      </c>
      <c r="E1" s="26" t="s">
        <v>91</v>
      </c>
      <c r="F1" s="26" t="s">
        <v>91</v>
      </c>
      <c r="G1" s="26" t="s">
        <v>63</v>
      </c>
      <c r="H1" s="26" t="s">
        <v>93</v>
      </c>
    </row>
    <row r="2" spans="2:8" ht="12.75">
      <c r="B2" s="26" t="s">
        <v>90</v>
      </c>
      <c r="D2" s="26" t="s">
        <v>95</v>
      </c>
      <c r="E2" s="26" t="s">
        <v>33</v>
      </c>
      <c r="F2" s="26" t="s">
        <v>34</v>
      </c>
      <c r="G2" s="26"/>
      <c r="H2" s="26" t="s">
        <v>94</v>
      </c>
    </row>
    <row r="3" spans="4:8" ht="12.75">
      <c r="D3" s="26"/>
      <c r="E3" s="26" t="s">
        <v>96</v>
      </c>
      <c r="F3" s="26" t="s">
        <v>96</v>
      </c>
      <c r="G3" s="26"/>
      <c r="H3" s="30" t="s">
        <v>97</v>
      </c>
    </row>
    <row r="4" spans="4:7" ht="12.75">
      <c r="D4" s="26"/>
      <c r="E4" s="26"/>
      <c r="F4" s="26"/>
      <c r="G4" s="26"/>
    </row>
    <row r="5" spans="1:8" ht="12.75">
      <c r="A5" t="s">
        <v>75</v>
      </c>
      <c r="B5" s="29">
        <v>2959467</v>
      </c>
      <c r="C5" s="29">
        <v>9107701000</v>
      </c>
      <c r="D5" s="29">
        <v>43737000</v>
      </c>
      <c r="E5" s="29">
        <v>1249539000</v>
      </c>
      <c r="F5" s="29">
        <v>190590000</v>
      </c>
      <c r="G5" s="29">
        <f>SUM(C5:F5)</f>
        <v>10591567000</v>
      </c>
      <c r="H5" s="29">
        <f aca="true" t="shared" si="0" ref="H5:H18">C5/B5</f>
        <v>3077.4801678815816</v>
      </c>
    </row>
    <row r="6" spans="1:8" ht="12.75">
      <c r="A6" t="s">
        <v>76</v>
      </c>
      <c r="B6" s="29">
        <v>2845889</v>
      </c>
      <c r="C6" s="29">
        <v>7897222000</v>
      </c>
      <c r="D6" s="29">
        <v>90839000</v>
      </c>
      <c r="E6" s="29">
        <v>1092627000</v>
      </c>
      <c r="F6" s="29">
        <v>204873000</v>
      </c>
      <c r="G6" s="29">
        <f aca="true" t="shared" si="1" ref="G6:G20">SUM(C6:F6)</f>
        <v>9285561000</v>
      </c>
      <c r="H6" s="29">
        <f t="shared" si="0"/>
        <v>2774.9578426987136</v>
      </c>
    </row>
    <row r="7" spans="1:8" ht="12.75">
      <c r="A7" t="s">
        <v>77</v>
      </c>
      <c r="B7" s="29">
        <v>583168</v>
      </c>
      <c r="C7" s="29">
        <v>1618209000</v>
      </c>
      <c r="D7" s="29">
        <v>14888000</v>
      </c>
      <c r="E7" s="29">
        <v>227193000</v>
      </c>
      <c r="F7" s="29">
        <v>27706000</v>
      </c>
      <c r="G7" s="29">
        <f t="shared" si="1"/>
        <v>1887996000</v>
      </c>
      <c r="H7" s="29">
        <f t="shared" si="0"/>
        <v>2774.859045763828</v>
      </c>
    </row>
    <row r="8" spans="1:8" ht="12.75">
      <c r="A8" t="s">
        <v>78</v>
      </c>
      <c r="B8" s="29">
        <v>1143962</v>
      </c>
      <c r="C8" s="29">
        <v>2864985000</v>
      </c>
      <c r="D8" s="29">
        <v>45698000</v>
      </c>
      <c r="E8" s="29">
        <v>373823000</v>
      </c>
      <c r="F8" s="29">
        <v>122428000</v>
      </c>
      <c r="G8" s="29">
        <f t="shared" si="1"/>
        <v>3406934000</v>
      </c>
      <c r="H8" s="29">
        <f t="shared" si="0"/>
        <v>2504.440706946559</v>
      </c>
    </row>
    <row r="9" spans="1:8" ht="12.75">
      <c r="A9" t="s">
        <v>79</v>
      </c>
      <c r="B9" s="29">
        <v>2342669</v>
      </c>
      <c r="C9" s="29">
        <v>6433764000</v>
      </c>
      <c r="D9" s="29">
        <v>24415000</v>
      </c>
      <c r="E9" s="29">
        <v>739501000</v>
      </c>
      <c r="F9" s="29">
        <v>204664000</v>
      </c>
      <c r="G9" s="29">
        <f t="shared" si="1"/>
        <v>7402344000</v>
      </c>
      <c r="H9" s="29">
        <f t="shared" si="0"/>
        <v>2746.339324932374</v>
      </c>
    </row>
    <row r="10" spans="1:8" ht="12.75">
      <c r="A10" t="s">
        <v>80</v>
      </c>
      <c r="B10" s="29">
        <v>386624</v>
      </c>
      <c r="C10" s="29">
        <v>940684000</v>
      </c>
      <c r="D10" s="29">
        <v>13258000</v>
      </c>
      <c r="E10" s="29">
        <v>142519000</v>
      </c>
      <c r="F10" s="29">
        <v>39701000</v>
      </c>
      <c r="G10" s="29">
        <f t="shared" si="1"/>
        <v>1136162000</v>
      </c>
      <c r="H10" s="29">
        <f t="shared" si="0"/>
        <v>2433.0719251779506</v>
      </c>
    </row>
    <row r="11" spans="1:8" ht="12.75">
      <c r="A11" t="s">
        <v>81</v>
      </c>
      <c r="B11" s="29">
        <v>507263</v>
      </c>
      <c r="C11" s="29">
        <v>1436646000</v>
      </c>
      <c r="D11" s="29">
        <v>12550000</v>
      </c>
      <c r="E11" s="29">
        <v>197856000</v>
      </c>
      <c r="F11" s="29">
        <v>47385000</v>
      </c>
      <c r="G11" s="29">
        <f t="shared" si="1"/>
        <v>1694437000</v>
      </c>
      <c r="H11" s="29">
        <f t="shared" si="0"/>
        <v>2832.15215775643</v>
      </c>
    </row>
    <row r="12" spans="1:8" ht="12.75">
      <c r="A12" t="s">
        <v>82</v>
      </c>
      <c r="B12" s="29">
        <v>863377</v>
      </c>
      <c r="C12" s="29">
        <v>2634022000</v>
      </c>
      <c r="D12" s="29">
        <v>23608000</v>
      </c>
      <c r="E12" s="29">
        <v>353844000</v>
      </c>
      <c r="F12" s="29">
        <v>65446000</v>
      </c>
      <c r="G12" s="29">
        <f t="shared" si="1"/>
        <v>3076920000</v>
      </c>
      <c r="H12" s="29">
        <f t="shared" si="0"/>
        <v>3050.8364248758076</v>
      </c>
    </row>
    <row r="13" spans="1:8" ht="12.75">
      <c r="A13" t="s">
        <v>83</v>
      </c>
      <c r="B13" s="29">
        <v>218651</v>
      </c>
      <c r="C13" s="29">
        <v>656313000</v>
      </c>
      <c r="D13" s="29">
        <v>10789000</v>
      </c>
      <c r="E13" s="29">
        <v>102041000</v>
      </c>
      <c r="F13" s="29">
        <v>22966000</v>
      </c>
      <c r="G13" s="29">
        <f t="shared" si="1"/>
        <v>792109000</v>
      </c>
      <c r="H13" s="29">
        <f t="shared" si="0"/>
        <v>3001.646459426209</v>
      </c>
    </row>
    <row r="14" spans="1:8" ht="12.75">
      <c r="A14" t="s">
        <v>84</v>
      </c>
      <c r="B14" s="29">
        <v>1460169</v>
      </c>
      <c r="C14" s="29">
        <v>3925170000</v>
      </c>
      <c r="D14" s="29">
        <v>61464000</v>
      </c>
      <c r="E14" s="29">
        <v>562925000</v>
      </c>
      <c r="F14" s="29">
        <v>142686000</v>
      </c>
      <c r="G14" s="29">
        <f t="shared" si="1"/>
        <v>4692245000</v>
      </c>
      <c r="H14" s="29">
        <f t="shared" si="0"/>
        <v>2688.161438847147</v>
      </c>
    </row>
    <row r="15" spans="1:8" ht="12.75">
      <c r="A15" t="s">
        <v>85</v>
      </c>
      <c r="B15" s="29">
        <v>280799</v>
      </c>
      <c r="C15" s="29">
        <v>711100000</v>
      </c>
      <c r="D15" s="29">
        <v>14846000</v>
      </c>
      <c r="E15" s="29">
        <v>118473000</v>
      </c>
      <c r="F15" s="29">
        <v>22123000</v>
      </c>
      <c r="G15" s="29">
        <f t="shared" si="1"/>
        <v>866542000</v>
      </c>
      <c r="H15" s="29">
        <f t="shared" si="0"/>
        <v>2532.416425984423</v>
      </c>
    </row>
    <row r="16" spans="1:8" ht="12.75">
      <c r="A16" t="s">
        <v>86</v>
      </c>
      <c r="B16" s="29">
        <v>1165099</v>
      </c>
      <c r="C16" s="29">
        <v>3577404000</v>
      </c>
      <c r="D16" s="29">
        <v>86396000</v>
      </c>
      <c r="E16" s="29">
        <v>417802000</v>
      </c>
      <c r="F16" s="29">
        <v>82080000</v>
      </c>
      <c r="G16" s="29">
        <f t="shared" si="1"/>
        <v>4163682000</v>
      </c>
      <c r="H16" s="29">
        <f t="shared" si="0"/>
        <v>3070.4721229698075</v>
      </c>
    </row>
    <row r="17" spans="1:8" ht="12.75">
      <c r="A17" t="s">
        <v>87</v>
      </c>
      <c r="B17" s="29">
        <v>2607757</v>
      </c>
      <c r="C17" s="29">
        <v>7048226000</v>
      </c>
      <c r="D17" s="29">
        <v>183851000</v>
      </c>
      <c r="E17" s="29">
        <v>935695000</v>
      </c>
      <c r="F17" s="29">
        <v>264408000</v>
      </c>
      <c r="G17" s="29">
        <f t="shared" si="1"/>
        <v>8432180000</v>
      </c>
      <c r="H17" s="29">
        <f t="shared" si="0"/>
        <v>2702.792476446233</v>
      </c>
    </row>
    <row r="18" spans="1:8" ht="12.75">
      <c r="A18" t="s">
        <v>88</v>
      </c>
      <c r="B18" s="29">
        <v>261266</v>
      </c>
      <c r="C18" s="29">
        <v>557131000</v>
      </c>
      <c r="D18" s="29">
        <v>10417000</v>
      </c>
      <c r="E18" s="29">
        <v>116148000</v>
      </c>
      <c r="F18" s="29">
        <v>20430000</v>
      </c>
      <c r="G18" s="29">
        <f t="shared" si="1"/>
        <v>704126000</v>
      </c>
      <c r="H18" s="29">
        <f t="shared" si="0"/>
        <v>2132.42825319789</v>
      </c>
    </row>
    <row r="19" spans="2:8" ht="12.75">
      <c r="B19" s="29"/>
      <c r="G19" s="29" t="s">
        <v>31</v>
      </c>
      <c r="H19" s="29" t="s">
        <v>31</v>
      </c>
    </row>
    <row r="20" spans="1:8" ht="12.75">
      <c r="A20" t="s">
        <v>30</v>
      </c>
      <c r="B20" s="29">
        <f>SUM(B5:B18)</f>
        <v>17626160</v>
      </c>
      <c r="C20" s="29">
        <f>SUM(C5:C18)</f>
        <v>49408577000</v>
      </c>
      <c r="D20" s="29">
        <f>SUM(D5:D18)</f>
        <v>636756000</v>
      </c>
      <c r="E20" s="29">
        <f>SUM(E5:E18)</f>
        <v>6629986000</v>
      </c>
      <c r="F20" s="29">
        <f>SUM(F5:F18)</f>
        <v>1457486000</v>
      </c>
      <c r="G20" s="29">
        <f t="shared" si="1"/>
        <v>58132805000</v>
      </c>
      <c r="H20" s="29">
        <f>C20/B20</f>
        <v>2803.1390274455694</v>
      </c>
    </row>
    <row r="24" spans="1:7" ht="12.75">
      <c r="A24" t="s">
        <v>75</v>
      </c>
      <c r="B24" s="29">
        <v>2959467</v>
      </c>
      <c r="C24" s="31">
        <f>C5/$G$5</f>
        <v>0.8599011836492183</v>
      </c>
      <c r="D24" s="31">
        <f>D5/$G$5</f>
        <v>0.004129417299630923</v>
      </c>
      <c r="E24" s="31">
        <f>E5/$G$5</f>
        <v>0.1179748945552627</v>
      </c>
      <c r="F24" s="31">
        <f>F5/$G$5</f>
        <v>0.017994504495888096</v>
      </c>
      <c r="G24" s="31">
        <f>SUM(C24:F24)</f>
        <v>1</v>
      </c>
    </row>
    <row r="25" spans="1:7" ht="12.75">
      <c r="A25" t="s">
        <v>76</v>
      </c>
      <c r="B25" s="29">
        <v>2845889</v>
      </c>
      <c r="C25" s="31">
        <f>C6/$G$6</f>
        <v>0.8504841010683145</v>
      </c>
      <c r="D25" s="31">
        <f>D6/$G$6</f>
        <v>0.009782823030294024</v>
      </c>
      <c r="E25" s="31">
        <f>E6/$G$6</f>
        <v>0.11766946552825402</v>
      </c>
      <c r="F25" s="31">
        <f>F6/$G$6</f>
        <v>0.02206361037313739</v>
      </c>
      <c r="G25" s="31">
        <f aca="true" t="shared" si="2" ref="G25:G39">SUM(C25:F25)</f>
        <v>0.9999999999999999</v>
      </c>
    </row>
    <row r="26" spans="1:7" ht="12.75">
      <c r="A26" t="s">
        <v>77</v>
      </c>
      <c r="B26" s="29">
        <v>583168</v>
      </c>
      <c r="C26" s="31">
        <f>C7/$G$7</f>
        <v>0.857104040474662</v>
      </c>
      <c r="D26" s="31">
        <f>D7/$G$7</f>
        <v>0.007885609927139676</v>
      </c>
      <c r="E26" s="31">
        <f>E7/$G$7</f>
        <v>0.12033553037188638</v>
      </c>
      <c r="F26" s="31">
        <f>F7/$G$7</f>
        <v>0.014674819226311921</v>
      </c>
      <c r="G26" s="31">
        <f t="shared" si="2"/>
        <v>1</v>
      </c>
    </row>
    <row r="27" spans="1:7" ht="12.75">
      <c r="A27" t="s">
        <v>78</v>
      </c>
      <c r="B27" s="29">
        <v>1143962</v>
      </c>
      <c r="C27" s="31">
        <f>C8/$G$8</f>
        <v>0.8409276493175388</v>
      </c>
      <c r="D27" s="31">
        <f>D8/$G$8</f>
        <v>0.013413233129846366</v>
      </c>
      <c r="E27" s="31">
        <f>E8/$G$8</f>
        <v>0.10972416841652935</v>
      </c>
      <c r="F27" s="31">
        <f>F8/$G$8</f>
        <v>0.03593494913608541</v>
      </c>
      <c r="G27" s="31">
        <f t="shared" si="2"/>
        <v>0.9999999999999999</v>
      </c>
    </row>
    <row r="28" spans="1:7" ht="12.75">
      <c r="A28" t="s">
        <v>79</v>
      </c>
      <c r="B28" s="29">
        <v>2342669</v>
      </c>
      <c r="C28" s="31">
        <f>C9/$G$9</f>
        <v>0.8691522577172852</v>
      </c>
      <c r="D28" s="31">
        <f>D9/$G$9</f>
        <v>0.0032982795719842255</v>
      </c>
      <c r="E28" s="31">
        <f>E9/$G$9</f>
        <v>0.09990092327511393</v>
      </c>
      <c r="F28" s="31">
        <f>F9/$G$9</f>
        <v>0.02764853943561661</v>
      </c>
      <c r="G28" s="31">
        <f t="shared" si="2"/>
        <v>1</v>
      </c>
    </row>
    <row r="29" spans="1:7" ht="12.75">
      <c r="A29" t="s">
        <v>80</v>
      </c>
      <c r="B29" s="29">
        <v>386624</v>
      </c>
      <c r="C29" s="31">
        <f>C10/$G$10</f>
        <v>0.8279488312406154</v>
      </c>
      <c r="D29" s="31">
        <f>D10/$G$10</f>
        <v>0.011669110566979005</v>
      </c>
      <c r="E29" s="31">
        <f>E10/$G$10</f>
        <v>0.1254389778922372</v>
      </c>
      <c r="F29" s="31">
        <f>F10/$G$10</f>
        <v>0.03494308030016846</v>
      </c>
      <c r="G29" s="31">
        <f t="shared" si="2"/>
        <v>1</v>
      </c>
    </row>
    <row r="30" spans="1:7" ht="12.75">
      <c r="A30" t="s">
        <v>81</v>
      </c>
      <c r="B30" s="29">
        <v>507263</v>
      </c>
      <c r="C30" s="31">
        <f>C11/$G$11</f>
        <v>0.8478603807636401</v>
      </c>
      <c r="D30" s="31">
        <f>D11/$G$11</f>
        <v>0.007406589917477014</v>
      </c>
      <c r="E30" s="31">
        <f>E11/$G$11</f>
        <v>0.1167679884232934</v>
      </c>
      <c r="F30" s="31">
        <f>F11/$G$11</f>
        <v>0.02796504089558951</v>
      </c>
      <c r="G30" s="31">
        <f t="shared" si="2"/>
        <v>1</v>
      </c>
    </row>
    <row r="31" spans="1:7" ht="12.75">
      <c r="A31" t="s">
        <v>82</v>
      </c>
      <c r="B31" s="29">
        <v>863377</v>
      </c>
      <c r="C31" s="31">
        <f>C12/$G$12</f>
        <v>0.8560580060580061</v>
      </c>
      <c r="D31" s="31">
        <f>D12/$G$12</f>
        <v>0.007672607672607672</v>
      </c>
      <c r="E31" s="31">
        <f>E12/$G$12</f>
        <v>0.114999414999415</v>
      </c>
      <c r="F31" s="31">
        <f>F12/$G$12</f>
        <v>0.02126997126997127</v>
      </c>
      <c r="G31" s="31">
        <f t="shared" si="2"/>
        <v>1</v>
      </c>
    </row>
    <row r="32" spans="1:7" ht="12.75">
      <c r="A32" t="s">
        <v>83</v>
      </c>
      <c r="B32" s="29">
        <v>218651</v>
      </c>
      <c r="C32" s="31">
        <f>C13/$G$13</f>
        <v>0.8285639981366201</v>
      </c>
      <c r="D32" s="31">
        <f>D13/$G$13</f>
        <v>0.013620600195175159</v>
      </c>
      <c r="E32" s="31">
        <f>E13/$G$13</f>
        <v>0.12882191718563984</v>
      </c>
      <c r="F32" s="31">
        <f>F13/$G$13</f>
        <v>0.0289934844825649</v>
      </c>
      <c r="G32" s="31">
        <f t="shared" si="2"/>
        <v>1</v>
      </c>
    </row>
    <row r="33" spans="1:7" ht="12.75">
      <c r="A33" t="s">
        <v>84</v>
      </c>
      <c r="B33" s="29">
        <v>1460169</v>
      </c>
      <c r="C33" s="31">
        <f>C14/$G$14</f>
        <v>0.8365228158376214</v>
      </c>
      <c r="D33" s="31">
        <f>D14/$G$14</f>
        <v>0.013099060257936232</v>
      </c>
      <c r="E33" s="31">
        <f>E14/$G$14</f>
        <v>0.11996922581834495</v>
      </c>
      <c r="F33" s="31">
        <f>F14/$G$14</f>
        <v>0.03040889808609738</v>
      </c>
      <c r="G33" s="31">
        <f t="shared" si="2"/>
        <v>1</v>
      </c>
    </row>
    <row r="34" spans="1:7" ht="12.75">
      <c r="A34" t="s">
        <v>85</v>
      </c>
      <c r="B34" s="29">
        <v>280799</v>
      </c>
      <c r="C34" s="31">
        <f>C15/$G$15</f>
        <v>0.8206180427492262</v>
      </c>
      <c r="D34" s="31">
        <f>D15/$G$15</f>
        <v>0.017132464439115473</v>
      </c>
      <c r="E34" s="31">
        <f>E15/$G$15</f>
        <v>0.13671928192747726</v>
      </c>
      <c r="F34" s="31">
        <f>F15/$G$15</f>
        <v>0.02553021088418103</v>
      </c>
      <c r="G34" s="31">
        <f t="shared" si="2"/>
        <v>1</v>
      </c>
    </row>
    <row r="35" spans="1:7" ht="12.75">
      <c r="A35" t="s">
        <v>86</v>
      </c>
      <c r="B35" s="29">
        <v>1165099</v>
      </c>
      <c r="C35" s="31">
        <f>C16/$G$16</f>
        <v>0.8591924167119391</v>
      </c>
      <c r="D35" s="31">
        <f>D16/$G$16</f>
        <v>0.020749903570925925</v>
      </c>
      <c r="E35" s="31">
        <f>E16/$G$16</f>
        <v>0.10034435867100322</v>
      </c>
      <c r="F35" s="31">
        <f>F16/$G$16</f>
        <v>0.019713321046131764</v>
      </c>
      <c r="G35" s="31">
        <f t="shared" si="2"/>
        <v>1</v>
      </c>
    </row>
    <row r="36" spans="1:7" ht="12.75">
      <c r="A36" t="s">
        <v>87</v>
      </c>
      <c r="B36" s="29">
        <v>2607757</v>
      </c>
      <c r="C36" s="31">
        <f>C17/$G$17</f>
        <v>0.8358723366911048</v>
      </c>
      <c r="D36" s="31">
        <f>D17/$G$17</f>
        <v>0.021803495655927648</v>
      </c>
      <c r="E36" s="31">
        <f>E17/$G$17</f>
        <v>0.11096715202948704</v>
      </c>
      <c r="F36" s="31">
        <f>F17/$G$17</f>
        <v>0.031357015623480526</v>
      </c>
      <c r="G36" s="31">
        <f t="shared" si="2"/>
        <v>1</v>
      </c>
    </row>
    <row r="37" spans="1:7" ht="12.75">
      <c r="A37" t="s">
        <v>88</v>
      </c>
      <c r="B37" s="29">
        <v>261266</v>
      </c>
      <c r="C37" s="31">
        <f>C18/$G$18</f>
        <v>0.7912376478073526</v>
      </c>
      <c r="D37" s="31">
        <f>D18/$G$18</f>
        <v>0.014794227169569083</v>
      </c>
      <c r="E37" s="31">
        <f>E18/$G$18</f>
        <v>0.16495343163013437</v>
      </c>
      <c r="F37" s="31">
        <f>F18/$G$18</f>
        <v>0.029014693392943876</v>
      </c>
      <c r="G37" s="31">
        <f t="shared" si="2"/>
        <v>1</v>
      </c>
    </row>
    <row r="38" spans="2:7" ht="12.75">
      <c r="B38" s="29"/>
      <c r="C38" s="31" t="s">
        <v>31</v>
      </c>
      <c r="D38" s="31" t="s">
        <v>31</v>
      </c>
      <c r="E38" s="31" t="s">
        <v>31</v>
      </c>
      <c r="F38" s="31" t="s">
        <v>31</v>
      </c>
      <c r="G38" s="31" t="s">
        <v>31</v>
      </c>
    </row>
    <row r="39" spans="1:7" ht="12.75">
      <c r="A39" t="s">
        <v>30</v>
      </c>
      <c r="B39" s="29">
        <f>SUM(B24:B37)</f>
        <v>17626160</v>
      </c>
      <c r="C39" s="31">
        <f>C20/$G$20</f>
        <v>0.8499259067234068</v>
      </c>
      <c r="D39" s="31">
        <f>D20/$G$20</f>
        <v>0.010953471108094647</v>
      </c>
      <c r="E39" s="31">
        <f>E20/$G$20</f>
        <v>0.11404896082341115</v>
      </c>
      <c r="F39" s="31">
        <f>F20/$G$20</f>
        <v>0.02507166134508734</v>
      </c>
      <c r="G39" s="31">
        <f t="shared" si="2"/>
        <v>0.9999999999999999</v>
      </c>
    </row>
  </sheetData>
  <printOptions gridLines="1" headings="1"/>
  <pageMargins left="0.5" right="0.19" top="0.76" bottom="0.45" header="0.18" footer="0.33"/>
  <pageSetup fitToHeight="1" fitToWidth="1" horizontalDpi="600" verticalDpi="600" orientation="landscape" r:id="rId1"/>
  <headerFooter alignWithMargins="0">
    <oddHeader>&amp;C&amp;"Arial,Bold"&amp;16APPENDIX 5:  QWEST 2000 CALLING INFORMATION BY STATE&amp;RPage 1 of 1</oddHeader>
    <oddFooter>&amp;LSource:  2000 Annual Report filed with Colorado PUC by Qwest Corporation.  The above figures were not audited by the PUC.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13.421875" style="0" customWidth="1"/>
    <col min="4" max="4" width="2.7109375" style="0" customWidth="1"/>
    <col min="5" max="5" width="14.421875" style="0" customWidth="1"/>
    <col min="6" max="6" width="14.140625" style="0" customWidth="1"/>
  </cols>
  <sheetData>
    <row r="1" spans="2:6" ht="12.75">
      <c r="B1" s="49" t="s">
        <v>53</v>
      </c>
      <c r="C1" s="49"/>
      <c r="D1" s="15"/>
      <c r="E1" s="49" t="s">
        <v>58</v>
      </c>
      <c r="F1" s="49"/>
    </row>
    <row r="2" spans="2:6" ht="12.75">
      <c r="B2" s="26" t="s">
        <v>48</v>
      </c>
      <c r="C2" s="26" t="s">
        <v>47</v>
      </c>
      <c r="D2" s="15"/>
      <c r="E2" s="26" t="s">
        <v>48</v>
      </c>
      <c r="F2" s="26" t="s">
        <v>47</v>
      </c>
    </row>
    <row r="3" spans="1:4" ht="12.75">
      <c r="A3" s="11" t="s">
        <v>0</v>
      </c>
      <c r="D3" s="16"/>
    </row>
    <row r="4" spans="1:6" ht="12.75">
      <c r="A4" s="13" t="s">
        <v>49</v>
      </c>
      <c r="B4" s="6">
        <v>101901</v>
      </c>
      <c r="C4" s="6">
        <v>54402</v>
      </c>
      <c r="D4" s="17"/>
      <c r="E4" s="6">
        <v>82076</v>
      </c>
      <c r="F4" s="6">
        <v>104684</v>
      </c>
    </row>
    <row r="5" spans="1:6" ht="12.75">
      <c r="A5" s="13" t="s">
        <v>50</v>
      </c>
      <c r="B5" s="6">
        <v>0</v>
      </c>
      <c r="C5" s="6">
        <v>0</v>
      </c>
      <c r="D5" s="17"/>
      <c r="E5" s="6">
        <v>0</v>
      </c>
      <c r="F5" s="6">
        <v>0</v>
      </c>
    </row>
    <row r="6" spans="1:6" ht="12.75">
      <c r="A6" s="13" t="s">
        <v>52</v>
      </c>
      <c r="B6" s="6">
        <v>179335</v>
      </c>
      <c r="C6" s="6">
        <v>145937</v>
      </c>
      <c r="D6" s="17"/>
      <c r="E6" s="6">
        <v>200487</v>
      </c>
      <c r="F6" s="6">
        <v>195346</v>
      </c>
    </row>
    <row r="7" spans="1:6" ht="12.75">
      <c r="A7" s="13" t="s">
        <v>51</v>
      </c>
      <c r="B7" s="6">
        <v>51192</v>
      </c>
      <c r="C7" s="6">
        <v>43845</v>
      </c>
      <c r="D7" s="17"/>
      <c r="E7" s="6">
        <v>51593</v>
      </c>
      <c r="F7" s="6">
        <v>44136</v>
      </c>
    </row>
    <row r="8" spans="1:6" ht="12.75">
      <c r="A8" s="13" t="s">
        <v>54</v>
      </c>
      <c r="B8" s="14">
        <f>SUM(B4:B7)</f>
        <v>332428</v>
      </c>
      <c r="C8" s="14">
        <f>SUM(C4:C7)</f>
        <v>244184</v>
      </c>
      <c r="D8" s="18"/>
      <c r="E8" s="14">
        <f>SUM(E4:E7)</f>
        <v>334156</v>
      </c>
      <c r="F8" s="14">
        <f>SUM(F4:F7)</f>
        <v>344166</v>
      </c>
    </row>
    <row r="9" spans="1:6" ht="12.75">
      <c r="A9" s="13" t="s">
        <v>114</v>
      </c>
      <c r="B9" s="3">
        <f>(B8-E8)/B8</f>
        <v>-0.0051981180887289875</v>
      </c>
      <c r="C9" s="3">
        <f>(C8-F8)/C8</f>
        <v>-0.409453526848606</v>
      </c>
      <c r="D9" s="17"/>
      <c r="E9" s="6"/>
      <c r="F9" s="6"/>
    </row>
    <row r="10" spans="1:6" ht="12.75">
      <c r="A10" s="11" t="s">
        <v>1</v>
      </c>
      <c r="B10" s="6"/>
      <c r="C10" s="6"/>
      <c r="D10" s="17"/>
      <c r="E10" s="6"/>
      <c r="F10" s="6"/>
    </row>
    <row r="11" spans="1:6" ht="12.75">
      <c r="A11" s="13" t="s">
        <v>49</v>
      </c>
      <c r="B11" s="6">
        <v>1836804</v>
      </c>
      <c r="C11" s="6">
        <v>1353737</v>
      </c>
      <c r="D11" s="17"/>
      <c r="E11" s="6">
        <v>1591879</v>
      </c>
      <c r="F11" s="6">
        <v>1220939</v>
      </c>
    </row>
    <row r="12" spans="1:6" ht="12.75">
      <c r="A12" s="13" t="s">
        <v>50</v>
      </c>
      <c r="B12" s="6">
        <v>0</v>
      </c>
      <c r="C12" s="6">
        <v>0</v>
      </c>
      <c r="D12" s="17"/>
      <c r="E12" s="6">
        <v>0</v>
      </c>
      <c r="F12" s="6">
        <v>0</v>
      </c>
    </row>
    <row r="13" spans="1:6" ht="12.75">
      <c r="A13" s="13" t="s">
        <v>52</v>
      </c>
      <c r="B13" s="6">
        <v>1044369</v>
      </c>
      <c r="C13" s="6">
        <v>899470</v>
      </c>
      <c r="D13" s="17"/>
      <c r="E13" s="6">
        <v>960059</v>
      </c>
      <c r="F13" s="6">
        <v>819629</v>
      </c>
    </row>
    <row r="14" spans="1:6" ht="12.75">
      <c r="A14" s="13" t="s">
        <v>51</v>
      </c>
      <c r="B14" s="6">
        <v>523545</v>
      </c>
      <c r="C14" s="6">
        <v>421572</v>
      </c>
      <c r="D14" s="17"/>
      <c r="E14" s="6">
        <v>487636</v>
      </c>
      <c r="F14" s="6">
        <v>429131</v>
      </c>
    </row>
    <row r="15" spans="1:6" ht="12.75">
      <c r="A15" s="13" t="s">
        <v>54</v>
      </c>
      <c r="B15" s="14">
        <f>SUM(B11:B14)</f>
        <v>3404718</v>
      </c>
      <c r="C15" s="14">
        <f>SUM(C11:C14)</f>
        <v>2674779</v>
      </c>
      <c r="D15" s="18"/>
      <c r="E15" s="14">
        <f>SUM(E11:E14)</f>
        <v>3039574</v>
      </c>
      <c r="F15" s="14">
        <f>SUM(F11:F14)</f>
        <v>2469699</v>
      </c>
    </row>
    <row r="16" spans="1:6" ht="12.75">
      <c r="A16" s="13" t="s">
        <v>114</v>
      </c>
      <c r="B16" s="3">
        <f>(B15-E15)/B15</f>
        <v>0.10724647386362102</v>
      </c>
      <c r="C16" s="3">
        <f>(C15-F15)/C15</f>
        <v>0.07667175493751073</v>
      </c>
      <c r="D16" s="17"/>
      <c r="E16" s="6"/>
      <c r="F16" s="6"/>
    </row>
    <row r="17" spans="1:6" ht="12.75">
      <c r="A17" s="11" t="s">
        <v>2</v>
      </c>
      <c r="B17" s="6"/>
      <c r="C17" s="6"/>
      <c r="D17" s="17"/>
      <c r="E17" s="6"/>
      <c r="F17" s="6"/>
    </row>
    <row r="18" spans="1:6" ht="12.75">
      <c r="A18" s="13" t="s">
        <v>49</v>
      </c>
      <c r="B18" s="6">
        <v>0</v>
      </c>
      <c r="C18" s="33">
        <v>0</v>
      </c>
      <c r="D18" s="17"/>
      <c r="E18" s="6">
        <v>0</v>
      </c>
      <c r="F18" s="33">
        <v>0</v>
      </c>
    </row>
    <row r="19" spans="1:6" ht="12.75">
      <c r="A19" s="13" t="s">
        <v>50</v>
      </c>
      <c r="B19" s="6">
        <v>0</v>
      </c>
      <c r="C19" s="33">
        <v>0</v>
      </c>
      <c r="D19" s="17"/>
      <c r="E19" s="6">
        <v>0</v>
      </c>
      <c r="F19" s="33">
        <v>0</v>
      </c>
    </row>
    <row r="20" spans="1:6" ht="12.75">
      <c r="A20" s="13" t="s">
        <v>52</v>
      </c>
      <c r="B20" s="6">
        <v>0</v>
      </c>
      <c r="C20" s="33">
        <v>0</v>
      </c>
      <c r="D20" s="17"/>
      <c r="E20" s="6">
        <v>0</v>
      </c>
      <c r="F20" s="33">
        <v>0</v>
      </c>
    </row>
    <row r="21" spans="1:6" ht="12.75">
      <c r="A21" s="13" t="s">
        <v>51</v>
      </c>
      <c r="B21" s="6">
        <v>0</v>
      </c>
      <c r="C21" s="33">
        <v>0</v>
      </c>
      <c r="D21" s="17"/>
      <c r="E21" s="6">
        <v>0</v>
      </c>
      <c r="F21" s="33">
        <v>0</v>
      </c>
    </row>
    <row r="22" spans="1:6" ht="12.75">
      <c r="A22" s="13" t="s">
        <v>54</v>
      </c>
      <c r="B22" s="14">
        <f>SUM(B18:B21)</f>
        <v>0</v>
      </c>
      <c r="C22" s="34">
        <f>SUM(C18:C21)</f>
        <v>0</v>
      </c>
      <c r="D22" s="18"/>
      <c r="E22" s="14">
        <f>SUM(E18:E21)</f>
        <v>0</v>
      </c>
      <c r="F22" s="34">
        <f>SUM(F18:F21)</f>
        <v>0</v>
      </c>
    </row>
    <row r="23" spans="1:6" ht="12.75">
      <c r="A23" s="13" t="s">
        <v>114</v>
      </c>
      <c r="B23" s="3" t="e">
        <f>(B22-E22)/B22</f>
        <v>#DIV/0!</v>
      </c>
      <c r="C23" s="3" t="e">
        <f>(C22-F22)/C22</f>
        <v>#DIV/0!</v>
      </c>
      <c r="D23" s="18"/>
      <c r="E23" s="14"/>
      <c r="F23" s="14"/>
    </row>
    <row r="24" spans="1:6" ht="12.75">
      <c r="A24" s="11" t="s">
        <v>3</v>
      </c>
      <c r="B24" s="6"/>
      <c r="C24" s="6"/>
      <c r="D24" s="17"/>
      <c r="E24" s="6"/>
      <c r="F24" s="6"/>
    </row>
    <row r="25" spans="1:6" ht="12.75">
      <c r="A25" s="13" t="s">
        <v>49</v>
      </c>
      <c r="B25" s="6">
        <v>1745584</v>
      </c>
      <c r="C25" s="6">
        <v>1243639</v>
      </c>
      <c r="D25" s="17"/>
      <c r="E25" s="6">
        <v>1742165</v>
      </c>
      <c r="F25" s="6">
        <v>1327682</v>
      </c>
    </row>
    <row r="26" spans="1:6" ht="12.75">
      <c r="A26" s="13" t="s">
        <v>50</v>
      </c>
      <c r="B26" s="6">
        <v>0</v>
      </c>
      <c r="C26" s="6">
        <v>0</v>
      </c>
      <c r="D26" s="17"/>
      <c r="E26" s="6">
        <v>0</v>
      </c>
      <c r="F26" s="6">
        <v>0</v>
      </c>
    </row>
    <row r="27" spans="1:6" ht="12.75">
      <c r="A27" s="13" t="s">
        <v>52</v>
      </c>
      <c r="B27" s="6">
        <v>720593</v>
      </c>
      <c r="C27" s="6">
        <v>640840</v>
      </c>
      <c r="D27" s="17"/>
      <c r="E27" s="6">
        <v>726750</v>
      </c>
      <c r="F27" s="6">
        <v>533988</v>
      </c>
    </row>
    <row r="28" spans="1:6" ht="12.75">
      <c r="A28" s="13" t="s">
        <v>51</v>
      </c>
      <c r="B28" s="6">
        <v>288547</v>
      </c>
      <c r="C28" s="6">
        <v>293218</v>
      </c>
      <c r="D28" s="17"/>
      <c r="E28" s="6">
        <v>291232</v>
      </c>
      <c r="F28" s="6">
        <v>274389</v>
      </c>
    </row>
    <row r="29" spans="1:6" ht="12.75">
      <c r="A29" s="13" t="s">
        <v>54</v>
      </c>
      <c r="B29" s="14">
        <f>SUM(B25:B28)</f>
        <v>2754724</v>
      </c>
      <c r="C29" s="14">
        <f>SUM(C25:C28)</f>
        <v>2177697</v>
      </c>
      <c r="D29" s="18"/>
      <c r="E29" s="14">
        <f>SUM(E25:E28)</f>
        <v>2760147</v>
      </c>
      <c r="F29" s="14">
        <f>SUM(F25:F28)</f>
        <v>2136059</v>
      </c>
    </row>
    <row r="30" spans="1:6" ht="12.75">
      <c r="A30" s="13" t="s">
        <v>114</v>
      </c>
      <c r="B30" s="3">
        <f>(B29-E29)/B29</f>
        <v>-0.001968618271739746</v>
      </c>
      <c r="C30" s="3">
        <f>(C29-F29)/C29</f>
        <v>0.01912019899921798</v>
      </c>
      <c r="D30" s="17"/>
      <c r="E30" s="6"/>
      <c r="F30" s="6"/>
    </row>
    <row r="31" spans="1:6" ht="12.75">
      <c r="A31" s="11" t="s">
        <v>55</v>
      </c>
      <c r="B31" s="6"/>
      <c r="C31" s="6"/>
      <c r="D31" s="17"/>
      <c r="E31" s="6"/>
      <c r="F31" s="6"/>
    </row>
    <row r="32" spans="1:6" ht="12.75">
      <c r="A32" s="13" t="s">
        <v>49</v>
      </c>
      <c r="B32" s="6">
        <v>22629143</v>
      </c>
      <c r="C32" s="6">
        <v>16580393</v>
      </c>
      <c r="D32" s="17"/>
      <c r="E32" s="6">
        <v>20832193</v>
      </c>
      <c r="F32" s="6">
        <v>15204958</v>
      </c>
    </row>
    <row r="33" spans="1:6" ht="12.75">
      <c r="A33" s="13" t="s">
        <v>50</v>
      </c>
      <c r="B33" s="6">
        <v>0</v>
      </c>
      <c r="C33" s="6">
        <v>0</v>
      </c>
      <c r="D33" s="17"/>
      <c r="E33" s="6">
        <v>0</v>
      </c>
      <c r="F33" s="6">
        <v>0</v>
      </c>
    </row>
    <row r="34" spans="1:6" ht="12.75">
      <c r="A34" s="13" t="s">
        <v>52</v>
      </c>
      <c r="B34" s="6">
        <v>2790227</v>
      </c>
      <c r="C34" s="6">
        <v>1346459</v>
      </c>
      <c r="D34" s="17"/>
      <c r="E34" s="6">
        <v>2678994</v>
      </c>
      <c r="F34" s="6">
        <v>1552370</v>
      </c>
    </row>
    <row r="35" spans="1:6" ht="12.75">
      <c r="A35" s="13" t="s">
        <v>51</v>
      </c>
      <c r="B35" s="6">
        <v>3048311</v>
      </c>
      <c r="C35" s="6">
        <v>1812362</v>
      </c>
      <c r="D35" s="17"/>
      <c r="E35" s="6">
        <v>2703220</v>
      </c>
      <c r="F35" s="6">
        <v>1878199</v>
      </c>
    </row>
    <row r="36" spans="1:6" ht="12.75">
      <c r="A36" s="13" t="s">
        <v>54</v>
      </c>
      <c r="B36" s="14">
        <f>SUM(B32:B35)</f>
        <v>28467681</v>
      </c>
      <c r="C36" s="14">
        <f>SUM(C32:C35)</f>
        <v>19739214</v>
      </c>
      <c r="D36" s="18"/>
      <c r="E36" s="14">
        <f>SUM(E32:E35)</f>
        <v>26214407</v>
      </c>
      <c r="F36" s="14">
        <f>SUM(F32:F35)</f>
        <v>18635527</v>
      </c>
    </row>
    <row r="37" spans="1:6" ht="12.75">
      <c r="A37" s="13" t="s">
        <v>114</v>
      </c>
      <c r="B37" s="3">
        <f>(B36-E36)/B36</f>
        <v>0.07915200398655584</v>
      </c>
      <c r="C37" s="3">
        <f>(C36-F36)/C36</f>
        <v>0.05591342188194525</v>
      </c>
      <c r="D37" s="17"/>
      <c r="E37" s="6"/>
      <c r="F37" s="6"/>
    </row>
    <row r="38" spans="1:6" ht="12.75">
      <c r="A38" s="11" t="s">
        <v>56</v>
      </c>
      <c r="B38" s="6"/>
      <c r="C38" s="6"/>
      <c r="D38" s="17"/>
      <c r="E38" s="6"/>
      <c r="F38" s="6"/>
    </row>
    <row r="39" spans="1:6" ht="12.75">
      <c r="A39" s="13" t="s">
        <v>49</v>
      </c>
      <c r="B39" s="6">
        <v>150158977</v>
      </c>
      <c r="C39" s="6">
        <v>115719744</v>
      </c>
      <c r="D39" s="17"/>
      <c r="E39" s="6">
        <v>142049601</v>
      </c>
      <c r="F39" s="6">
        <v>111144735</v>
      </c>
    </row>
    <row r="40" spans="1:6" ht="12.75">
      <c r="A40" s="13" t="s">
        <v>50</v>
      </c>
      <c r="B40" s="6">
        <v>109</v>
      </c>
      <c r="C40" s="6">
        <v>0</v>
      </c>
      <c r="D40" s="17"/>
      <c r="E40" s="6">
        <v>97</v>
      </c>
      <c r="F40" s="6">
        <v>0</v>
      </c>
    </row>
    <row r="41" spans="1:6" ht="12.75">
      <c r="A41" s="13" t="s">
        <v>52</v>
      </c>
      <c r="B41" s="6">
        <v>44006582</v>
      </c>
      <c r="C41" s="6">
        <v>42670582</v>
      </c>
      <c r="D41" s="17"/>
      <c r="E41" s="6">
        <v>40620723</v>
      </c>
      <c r="F41" s="6">
        <v>30060336</v>
      </c>
    </row>
    <row r="42" spans="1:6" ht="12.75">
      <c r="A42" s="13" t="s">
        <v>51</v>
      </c>
      <c r="B42" s="6">
        <v>42143734</v>
      </c>
      <c r="C42" s="6">
        <v>25046579</v>
      </c>
      <c r="D42" s="17"/>
      <c r="E42" s="6">
        <v>42215564</v>
      </c>
      <c r="F42" s="6">
        <v>31611949</v>
      </c>
    </row>
    <row r="43" spans="1:6" ht="12.75">
      <c r="A43" s="13" t="s">
        <v>54</v>
      </c>
      <c r="B43" s="14">
        <f>SUM(B39:B42)</f>
        <v>236309402</v>
      </c>
      <c r="C43" s="14">
        <f>SUM(C39:C42)</f>
        <v>183436905</v>
      </c>
      <c r="D43" s="18"/>
      <c r="E43" s="14">
        <f>SUM(E39:E42)</f>
        <v>224885985</v>
      </c>
      <c r="F43" s="14">
        <f>SUM(F39:F42)</f>
        <v>172817020</v>
      </c>
    </row>
    <row r="44" spans="1:6" ht="12.75">
      <c r="A44" s="13" t="s">
        <v>114</v>
      </c>
      <c r="B44" s="3">
        <f>(B43-E43)/B43</f>
        <v>0.04834093312969409</v>
      </c>
      <c r="C44" s="3">
        <f>(C43-F43)/C43</f>
        <v>0.057893939063134545</v>
      </c>
      <c r="D44" s="18"/>
      <c r="E44" s="14"/>
      <c r="F44" s="14"/>
    </row>
    <row r="45" spans="1:6" ht="12.75">
      <c r="A45" s="11" t="s">
        <v>6</v>
      </c>
      <c r="B45" s="6"/>
      <c r="C45" s="6"/>
      <c r="D45" s="17"/>
      <c r="E45" s="6"/>
      <c r="F45" s="6"/>
    </row>
    <row r="46" spans="1:6" ht="12.75">
      <c r="A46" s="13" t="s">
        <v>49</v>
      </c>
      <c r="B46" s="6">
        <v>3015551</v>
      </c>
      <c r="C46" s="6">
        <v>2540222</v>
      </c>
      <c r="D46" s="17"/>
      <c r="E46" s="6">
        <v>2727977</v>
      </c>
      <c r="F46" s="6">
        <v>2360322</v>
      </c>
    </row>
    <row r="47" spans="1:6" ht="12.75">
      <c r="A47" s="13" t="s">
        <v>50</v>
      </c>
      <c r="B47" s="6">
        <v>0</v>
      </c>
      <c r="C47" s="6">
        <v>0</v>
      </c>
      <c r="D47" s="17"/>
      <c r="E47" s="6">
        <v>0</v>
      </c>
      <c r="F47" s="6">
        <v>0</v>
      </c>
    </row>
    <row r="48" spans="1:6" ht="12.75">
      <c r="A48" s="13" t="s">
        <v>52</v>
      </c>
      <c r="B48" s="6">
        <v>1135739</v>
      </c>
      <c r="C48" s="6">
        <v>1059907</v>
      </c>
      <c r="D48" s="17"/>
      <c r="E48" s="6">
        <v>1019398</v>
      </c>
      <c r="F48" s="6">
        <v>955582</v>
      </c>
    </row>
    <row r="49" spans="1:6" ht="12.75">
      <c r="A49" s="13" t="s">
        <v>51</v>
      </c>
      <c r="B49" s="6">
        <v>623549</v>
      </c>
      <c r="C49" s="6">
        <v>520393</v>
      </c>
      <c r="D49" s="17"/>
      <c r="E49" s="6">
        <v>536823</v>
      </c>
      <c r="F49" s="6">
        <v>458621</v>
      </c>
    </row>
    <row r="50" spans="1:6" ht="12.75">
      <c r="A50" s="13" t="s">
        <v>54</v>
      </c>
      <c r="B50" s="14">
        <f>SUM(B46:B49)</f>
        <v>4774839</v>
      </c>
      <c r="C50" s="14">
        <f>SUM(C46:C49)</f>
        <v>4120522</v>
      </c>
      <c r="D50" s="18"/>
      <c r="E50" s="14">
        <f>SUM(E46:E49)</f>
        <v>4284198</v>
      </c>
      <c r="F50" s="14">
        <f>SUM(F46:F49)</f>
        <v>3774525</v>
      </c>
    </row>
    <row r="51" spans="1:6" ht="12.75">
      <c r="A51" s="13" t="s">
        <v>114</v>
      </c>
      <c r="B51" s="3">
        <f>(B50-E50)/B50</f>
        <v>0.10275550652074342</v>
      </c>
      <c r="C51" s="3">
        <f>(C50-F50)/C50</f>
        <v>0.08396921555084526</v>
      </c>
      <c r="D51" s="17"/>
      <c r="E51" s="6"/>
      <c r="F51" s="6"/>
    </row>
    <row r="52" spans="1:6" ht="12.75">
      <c r="A52" s="11" t="s">
        <v>7</v>
      </c>
      <c r="B52" s="6"/>
      <c r="C52" s="6"/>
      <c r="D52" s="17"/>
      <c r="E52" s="6"/>
      <c r="F52" s="6"/>
    </row>
    <row r="53" spans="1:6" ht="12.75">
      <c r="A53" s="13" t="s">
        <v>49</v>
      </c>
      <c r="B53" s="6">
        <v>17028997</v>
      </c>
      <c r="C53" s="6">
        <v>13324675</v>
      </c>
      <c r="D53" s="17"/>
      <c r="E53" s="6">
        <v>16681128</v>
      </c>
      <c r="F53" s="6">
        <v>13023112</v>
      </c>
    </row>
    <row r="54" spans="1:6" ht="12.75">
      <c r="A54" s="13" t="s">
        <v>50</v>
      </c>
      <c r="B54" s="6">
        <v>28</v>
      </c>
      <c r="C54" s="6">
        <v>17</v>
      </c>
      <c r="D54" s="17"/>
      <c r="E54" s="6">
        <v>2</v>
      </c>
      <c r="F54" s="6">
        <v>0</v>
      </c>
    </row>
    <row r="55" spans="1:6" ht="12.75">
      <c r="A55" s="13" t="s">
        <v>52</v>
      </c>
      <c r="B55" s="6">
        <v>1359412</v>
      </c>
      <c r="C55" s="6">
        <v>877424</v>
      </c>
      <c r="D55" s="17"/>
      <c r="E55" s="6">
        <v>1660365</v>
      </c>
      <c r="F55" s="6">
        <v>939975</v>
      </c>
    </row>
    <row r="56" spans="1:6" ht="12.75">
      <c r="A56" s="13" t="s">
        <v>51</v>
      </c>
      <c r="B56" s="6">
        <v>8044205</v>
      </c>
      <c r="C56" s="6">
        <v>7385558</v>
      </c>
      <c r="D56" s="17"/>
      <c r="E56" s="6">
        <v>6362227</v>
      </c>
      <c r="F56" s="6">
        <v>6304097</v>
      </c>
    </row>
    <row r="57" spans="1:6" ht="12.75">
      <c r="A57" s="13" t="s">
        <v>54</v>
      </c>
      <c r="B57" s="14">
        <f>SUM(B53:B56)</f>
        <v>26432642</v>
      </c>
      <c r="C57" s="14">
        <f>SUM(C53:C56)</f>
        <v>21587674</v>
      </c>
      <c r="D57" s="18"/>
      <c r="E57" s="14">
        <f>SUM(E53:E56)</f>
        <v>24703722</v>
      </c>
      <c r="F57" s="14">
        <f>SUM(F53:F56)</f>
        <v>20267184</v>
      </c>
    </row>
    <row r="58" spans="1:6" ht="12.75">
      <c r="A58" s="13" t="s">
        <v>114</v>
      </c>
      <c r="B58" s="3">
        <f>(B57-E57)/B57</f>
        <v>0.06540852026823502</v>
      </c>
      <c r="C58" s="3">
        <f>(C57-F57)/C57</f>
        <v>0.06116870210287593</v>
      </c>
      <c r="D58" s="18"/>
      <c r="E58" s="14"/>
      <c r="F58" s="14"/>
    </row>
    <row r="59" spans="1:6" ht="12.75">
      <c r="A59" s="11" t="s">
        <v>8</v>
      </c>
      <c r="B59" s="6"/>
      <c r="C59" s="6"/>
      <c r="D59" s="17"/>
      <c r="E59" s="6"/>
      <c r="F59" s="6"/>
    </row>
    <row r="60" spans="1:6" ht="12.75">
      <c r="A60" s="13" t="s">
        <v>49</v>
      </c>
      <c r="B60" s="6">
        <v>8154300</v>
      </c>
      <c r="C60" s="6">
        <v>6635191</v>
      </c>
      <c r="D60" s="17"/>
      <c r="E60" s="6">
        <v>8809478</v>
      </c>
      <c r="F60" s="6">
        <v>6645746</v>
      </c>
    </row>
    <row r="61" spans="1:6" ht="12.75">
      <c r="A61" s="13" t="s">
        <v>50</v>
      </c>
      <c r="B61" s="6">
        <v>71</v>
      </c>
      <c r="C61" s="6">
        <v>71</v>
      </c>
      <c r="D61" s="17"/>
      <c r="E61" s="6">
        <v>0</v>
      </c>
      <c r="F61" s="6">
        <v>0</v>
      </c>
    </row>
    <row r="62" spans="1:6" ht="12.75">
      <c r="A62" s="13" t="s">
        <v>52</v>
      </c>
      <c r="B62" s="6">
        <v>3384972</v>
      </c>
      <c r="C62" s="6">
        <v>2803776</v>
      </c>
      <c r="D62" s="17"/>
      <c r="E62" s="6">
        <v>2841626</v>
      </c>
      <c r="F62" s="6">
        <v>1894417</v>
      </c>
    </row>
    <row r="63" spans="1:6" ht="12.75">
      <c r="A63" s="13" t="s">
        <v>51</v>
      </c>
      <c r="B63" s="6">
        <v>4160018</v>
      </c>
      <c r="C63" s="6">
        <v>3520699</v>
      </c>
      <c r="D63" s="17"/>
      <c r="E63" s="6">
        <v>4430313</v>
      </c>
      <c r="F63" s="6">
        <v>3773971</v>
      </c>
    </row>
    <row r="64" spans="1:6" ht="12.75">
      <c r="A64" s="13" t="s">
        <v>54</v>
      </c>
      <c r="B64" s="14">
        <f>SUM(B60:B63)</f>
        <v>15699361</v>
      </c>
      <c r="C64" s="14">
        <f>SUM(C60:C63)</f>
        <v>12959737</v>
      </c>
      <c r="D64" s="18"/>
      <c r="E64" s="14">
        <f>SUM(E60:E63)</f>
        <v>16081417</v>
      </c>
      <c r="F64" s="14">
        <f>SUM(F60:F63)</f>
        <v>12314134</v>
      </c>
    </row>
    <row r="65" spans="1:6" ht="12.75">
      <c r="A65" s="13" t="s">
        <v>114</v>
      </c>
      <c r="B65" s="3">
        <f>(B64-E64)/B64</f>
        <v>-0.02433576755130352</v>
      </c>
      <c r="C65" s="3">
        <f>(C64-F64)/C64</f>
        <v>0.049816057224000766</v>
      </c>
      <c r="D65" s="18"/>
      <c r="E65" s="14"/>
      <c r="F65" s="14"/>
    </row>
    <row r="66" spans="1:6" ht="12.75">
      <c r="A66" s="11" t="s">
        <v>9</v>
      </c>
      <c r="B66" s="6"/>
      <c r="C66" s="6"/>
      <c r="D66" s="17"/>
      <c r="E66" s="6"/>
      <c r="F66" s="6"/>
    </row>
    <row r="67" spans="1:6" ht="12.75">
      <c r="A67" s="13" t="s">
        <v>49</v>
      </c>
      <c r="B67" s="6">
        <v>9751338</v>
      </c>
      <c r="C67" s="6">
        <v>6742088</v>
      </c>
      <c r="D67" s="17"/>
      <c r="E67" s="6">
        <v>8753689</v>
      </c>
      <c r="F67" s="6">
        <v>6627783</v>
      </c>
    </row>
    <row r="68" spans="1:6" ht="12.75">
      <c r="A68" s="13" t="s">
        <v>50</v>
      </c>
      <c r="B68" s="6">
        <v>0</v>
      </c>
      <c r="C68" s="6">
        <v>0</v>
      </c>
      <c r="D68" s="17"/>
      <c r="E68" s="6">
        <v>0</v>
      </c>
      <c r="F68" s="6">
        <v>0</v>
      </c>
    </row>
    <row r="69" spans="1:6" ht="12.75">
      <c r="A69" s="13" t="s">
        <v>52</v>
      </c>
      <c r="B69" s="6">
        <v>2380257</v>
      </c>
      <c r="C69" s="6">
        <v>1757495</v>
      </c>
      <c r="D69" s="17"/>
      <c r="E69" s="6">
        <v>2427926</v>
      </c>
      <c r="F69" s="6">
        <v>1575797</v>
      </c>
    </row>
    <row r="70" spans="1:6" ht="12.75">
      <c r="A70" s="13" t="s">
        <v>51</v>
      </c>
      <c r="B70" s="6">
        <v>2558472</v>
      </c>
      <c r="C70" s="6">
        <v>2200846</v>
      </c>
      <c r="D70" s="17"/>
      <c r="E70" s="6">
        <v>2199075</v>
      </c>
      <c r="F70" s="6">
        <v>2236113</v>
      </c>
    </row>
    <row r="71" spans="1:6" ht="12.75">
      <c r="A71" s="13" t="s">
        <v>54</v>
      </c>
      <c r="B71" s="14">
        <f>SUM(B67:B70)</f>
        <v>14690067</v>
      </c>
      <c r="C71" s="14">
        <f>SUM(C67:C70)</f>
        <v>10700429</v>
      </c>
      <c r="D71" s="18"/>
      <c r="E71" s="14">
        <f>SUM(E67:E70)</f>
        <v>13380690</v>
      </c>
      <c r="F71" s="14">
        <f>SUM(F67:F70)</f>
        <v>10439693</v>
      </c>
    </row>
    <row r="72" spans="1:6" ht="12.75">
      <c r="A72" s="13" t="s">
        <v>114</v>
      </c>
      <c r="B72" s="3">
        <f>(B71-E71)/B71</f>
        <v>0.08913349408140889</v>
      </c>
      <c r="C72" s="3">
        <f>(C71-F71)/C71</f>
        <v>0.02436687351507122</v>
      </c>
      <c r="D72" s="18"/>
      <c r="E72" s="14"/>
      <c r="F72" s="14"/>
    </row>
    <row r="73" spans="1:6" ht="12.75">
      <c r="A73" s="11" t="s">
        <v>10</v>
      </c>
      <c r="B73" s="6"/>
      <c r="C73" s="6"/>
      <c r="D73" s="17"/>
      <c r="E73" s="6"/>
      <c r="F73" s="6"/>
    </row>
    <row r="74" spans="1:6" ht="12.75">
      <c r="A74" s="13" t="s">
        <v>49</v>
      </c>
      <c r="B74" s="6">
        <v>1052771</v>
      </c>
      <c r="C74" s="6">
        <v>871685</v>
      </c>
      <c r="D74" s="17"/>
      <c r="E74" s="6">
        <v>956217</v>
      </c>
      <c r="F74" s="6">
        <v>833295</v>
      </c>
    </row>
    <row r="75" spans="1:6" ht="12.75">
      <c r="A75" s="13" t="s">
        <v>50</v>
      </c>
      <c r="B75" s="6">
        <v>0</v>
      </c>
      <c r="C75" s="6">
        <v>0</v>
      </c>
      <c r="D75" s="17"/>
      <c r="E75" s="6">
        <v>0</v>
      </c>
      <c r="F75" s="6">
        <v>0</v>
      </c>
    </row>
    <row r="76" spans="1:6" ht="12.75">
      <c r="A76" s="13" t="s">
        <v>52</v>
      </c>
      <c r="B76" s="6">
        <v>57335</v>
      </c>
      <c r="C76" s="6">
        <v>54762</v>
      </c>
      <c r="D76" s="17"/>
      <c r="E76" s="6">
        <v>147156</v>
      </c>
      <c r="F76" s="6">
        <v>41737</v>
      </c>
    </row>
    <row r="77" spans="1:6" ht="12.75">
      <c r="A77" s="13" t="s">
        <v>51</v>
      </c>
      <c r="B77" s="6">
        <v>335197</v>
      </c>
      <c r="C77" s="6">
        <v>267327</v>
      </c>
      <c r="D77" s="17"/>
      <c r="E77" s="6">
        <v>211772</v>
      </c>
      <c r="F77" s="6">
        <v>200938</v>
      </c>
    </row>
    <row r="78" spans="1:6" ht="12.75">
      <c r="A78" s="13" t="s">
        <v>54</v>
      </c>
      <c r="B78" s="14">
        <f>SUM(B74:B77)</f>
        <v>1445303</v>
      </c>
      <c r="C78" s="14">
        <f>SUM(C74:C77)</f>
        <v>1193774</v>
      </c>
      <c r="D78" s="18"/>
      <c r="E78" s="14">
        <f>SUM(E74:E77)</f>
        <v>1315145</v>
      </c>
      <c r="F78" s="14">
        <f>SUM(F74:F77)</f>
        <v>1075970</v>
      </c>
    </row>
    <row r="79" spans="1:6" ht="12.75">
      <c r="A79" s="13" t="s">
        <v>114</v>
      </c>
      <c r="B79" s="3">
        <f>(B78-E78)/B78</f>
        <v>0.09005585679957767</v>
      </c>
      <c r="C79" s="3">
        <f>(C78-F78)/C78</f>
        <v>0.09868199508449672</v>
      </c>
      <c r="D79" s="17"/>
      <c r="E79" s="6"/>
      <c r="F79" s="6"/>
    </row>
    <row r="80" spans="1:6" ht="12.75">
      <c r="A80" s="11" t="s">
        <v>11</v>
      </c>
      <c r="B80" s="6"/>
      <c r="C80" s="6"/>
      <c r="D80" s="17"/>
      <c r="E80" s="6"/>
      <c r="F80" s="6"/>
    </row>
    <row r="81" spans="1:6" ht="12.75">
      <c r="A81" s="13" t="s">
        <v>49</v>
      </c>
      <c r="B81" s="6">
        <v>24073</v>
      </c>
      <c r="C81" s="6">
        <v>18242</v>
      </c>
      <c r="D81" s="17"/>
      <c r="E81" s="6">
        <v>22230</v>
      </c>
      <c r="F81" s="6">
        <v>16310</v>
      </c>
    </row>
    <row r="82" spans="1:6" ht="12.75">
      <c r="A82" s="13" t="s">
        <v>50</v>
      </c>
      <c r="B82" s="6">
        <v>1444</v>
      </c>
      <c r="C82" s="6">
        <v>2109</v>
      </c>
      <c r="D82" s="17"/>
      <c r="E82" s="6">
        <v>6544</v>
      </c>
      <c r="F82" s="6">
        <v>5555</v>
      </c>
    </row>
    <row r="83" spans="1:6" ht="12.75">
      <c r="A83" s="13" t="s">
        <v>52</v>
      </c>
      <c r="B83" s="6">
        <v>19578</v>
      </c>
      <c r="C83" s="6">
        <v>16949</v>
      </c>
      <c r="D83" s="17"/>
      <c r="E83" s="6">
        <v>22243</v>
      </c>
      <c r="F83" s="6">
        <v>16700</v>
      </c>
    </row>
    <row r="84" spans="1:6" ht="12.75">
      <c r="A84" s="13" t="s">
        <v>51</v>
      </c>
      <c r="B84" s="6">
        <v>74</v>
      </c>
      <c r="C84" s="6">
        <v>144</v>
      </c>
      <c r="D84" s="17"/>
      <c r="E84" s="6">
        <v>51</v>
      </c>
      <c r="F84" s="6">
        <v>38</v>
      </c>
    </row>
    <row r="85" spans="1:6" ht="12.75">
      <c r="A85" s="13" t="s">
        <v>54</v>
      </c>
      <c r="B85" s="14">
        <f>SUM(B81:B84)</f>
        <v>45169</v>
      </c>
      <c r="C85" s="14">
        <f>SUM(C81:C84)</f>
        <v>37444</v>
      </c>
      <c r="D85" s="18"/>
      <c r="E85" s="14">
        <f>SUM(E81:E84)</f>
        <v>51068</v>
      </c>
      <c r="F85" s="14">
        <f>SUM(F81:F84)</f>
        <v>38603</v>
      </c>
    </row>
    <row r="86" spans="1:6" ht="12.75">
      <c r="A86" s="13" t="s">
        <v>114</v>
      </c>
      <c r="B86" s="3">
        <f>(B85-E85)/B85</f>
        <v>-0.13059841926985322</v>
      </c>
      <c r="C86" s="3">
        <f>(C85-F85)/C85</f>
        <v>-0.03095288964854182</v>
      </c>
      <c r="D86" s="18"/>
      <c r="E86" s="14"/>
      <c r="F86" s="14"/>
    </row>
    <row r="87" spans="1:6" ht="12.75">
      <c r="A87" s="11" t="s">
        <v>25</v>
      </c>
      <c r="B87" s="6"/>
      <c r="C87" s="6"/>
      <c r="D87" s="17"/>
      <c r="E87" s="6"/>
      <c r="F87" s="6"/>
    </row>
    <row r="88" spans="1:6" ht="12.75">
      <c r="A88" s="13" t="s">
        <v>49</v>
      </c>
      <c r="B88" s="6">
        <v>2347694</v>
      </c>
      <c r="C88" s="6">
        <v>1973388</v>
      </c>
      <c r="D88" s="17"/>
      <c r="E88" s="6">
        <v>2367276</v>
      </c>
      <c r="F88" s="6">
        <v>1989485</v>
      </c>
    </row>
    <row r="89" spans="1:6" ht="12.75">
      <c r="A89" s="13" t="s">
        <v>50</v>
      </c>
      <c r="B89" s="6">
        <v>0</v>
      </c>
      <c r="C89" s="6">
        <v>0</v>
      </c>
      <c r="D89" s="17"/>
      <c r="E89" s="6">
        <v>0</v>
      </c>
      <c r="F89" s="6">
        <v>0</v>
      </c>
    </row>
    <row r="90" spans="1:6" ht="12.75">
      <c r="A90" s="13" t="s">
        <v>52</v>
      </c>
      <c r="B90" s="6">
        <v>1187668</v>
      </c>
      <c r="C90" s="6">
        <v>711428</v>
      </c>
      <c r="D90" s="17"/>
      <c r="E90" s="6">
        <v>805561</v>
      </c>
      <c r="F90" s="6">
        <v>588443</v>
      </c>
    </row>
    <row r="91" spans="1:6" ht="12.75">
      <c r="A91" s="13" t="s">
        <v>51</v>
      </c>
      <c r="B91" s="6">
        <v>388811</v>
      </c>
      <c r="C91" s="6">
        <v>503360</v>
      </c>
      <c r="D91" s="17"/>
      <c r="E91" s="6">
        <v>609566</v>
      </c>
      <c r="F91" s="6">
        <v>790706</v>
      </c>
    </row>
    <row r="92" spans="1:6" ht="12.75">
      <c r="A92" s="13" t="s">
        <v>54</v>
      </c>
      <c r="B92" s="14">
        <f>SUM(B88:B91)</f>
        <v>3924173</v>
      </c>
      <c r="C92" s="14">
        <f>SUM(C88:C91)</f>
        <v>3188176</v>
      </c>
      <c r="D92" s="18"/>
      <c r="E92" s="14">
        <f>SUM(E88:E91)</f>
        <v>3782403</v>
      </c>
      <c r="F92" s="14">
        <f>SUM(F88:F91)</f>
        <v>3368634</v>
      </c>
    </row>
    <row r="93" spans="1:6" ht="12.75">
      <c r="A93" s="13" t="s">
        <v>114</v>
      </c>
      <c r="B93" s="3">
        <f>(B92-E92)/B92</f>
        <v>0.03612735728011991</v>
      </c>
      <c r="C93" s="3">
        <f>(C92-F92)/C92</f>
        <v>-0.05660227038908768</v>
      </c>
      <c r="D93" s="17"/>
      <c r="E93" s="6"/>
      <c r="F93" s="6"/>
    </row>
    <row r="94" spans="1:6" ht="12.75">
      <c r="A94" s="11" t="s">
        <v>12</v>
      </c>
      <c r="B94" s="6"/>
      <c r="C94" s="6"/>
      <c r="D94" s="17"/>
      <c r="E94" s="6"/>
      <c r="F94" s="6"/>
    </row>
    <row r="95" spans="1:6" ht="12.75">
      <c r="A95" s="13" t="s">
        <v>49</v>
      </c>
      <c r="B95" s="6">
        <v>2404015</v>
      </c>
      <c r="C95" s="6">
        <v>2002867</v>
      </c>
      <c r="D95" s="17"/>
      <c r="E95" s="6">
        <v>2270064</v>
      </c>
      <c r="F95" s="6">
        <v>2139887</v>
      </c>
    </row>
    <row r="96" spans="1:6" ht="12.75">
      <c r="A96" s="13" t="s">
        <v>50</v>
      </c>
      <c r="B96" s="6">
        <v>0</v>
      </c>
      <c r="C96" s="6">
        <v>0</v>
      </c>
      <c r="D96" s="17"/>
      <c r="E96" s="6">
        <v>0</v>
      </c>
      <c r="F96" s="6">
        <v>0</v>
      </c>
    </row>
    <row r="97" spans="1:6" ht="12.75">
      <c r="A97" s="13" t="s">
        <v>52</v>
      </c>
      <c r="B97" s="6">
        <v>255581</v>
      </c>
      <c r="C97" s="6">
        <v>215962</v>
      </c>
      <c r="D97" s="17"/>
      <c r="E97" s="6">
        <v>325577</v>
      </c>
      <c r="F97" s="6">
        <v>181973</v>
      </c>
    </row>
    <row r="98" spans="1:6" ht="12.75">
      <c r="A98" s="13" t="s">
        <v>51</v>
      </c>
      <c r="B98" s="6">
        <v>1054152</v>
      </c>
      <c r="C98" s="6">
        <v>870613</v>
      </c>
      <c r="D98" s="17"/>
      <c r="E98" s="6">
        <v>837877</v>
      </c>
      <c r="F98" s="6">
        <v>780445</v>
      </c>
    </row>
    <row r="99" spans="1:6" ht="12.75">
      <c r="A99" s="13" t="s">
        <v>54</v>
      </c>
      <c r="B99" s="14">
        <f>SUM(B95:B98)</f>
        <v>3713748</v>
      </c>
      <c r="C99" s="14">
        <f>SUM(C95:C98)</f>
        <v>3089442</v>
      </c>
      <c r="D99" s="18"/>
      <c r="E99" s="14">
        <f>SUM(E95:E98)</f>
        <v>3433518</v>
      </c>
      <c r="F99" s="14">
        <f>SUM(F95:F98)</f>
        <v>3102305</v>
      </c>
    </row>
    <row r="100" spans="1:6" ht="12.75">
      <c r="A100" s="13" t="s">
        <v>114</v>
      </c>
      <c r="B100" s="3">
        <f>(B99-E99)/B99</f>
        <v>0.07545746238032305</v>
      </c>
      <c r="C100" s="3">
        <f>(C99-F99)/C99</f>
        <v>-0.004163535033187222</v>
      </c>
      <c r="D100" s="18"/>
      <c r="E100" s="14"/>
      <c r="F100" s="14"/>
    </row>
    <row r="101" spans="1:6" ht="12.75">
      <c r="A101" s="11" t="s">
        <v>13</v>
      </c>
      <c r="B101" s="6"/>
      <c r="C101" s="6"/>
      <c r="D101" s="17"/>
      <c r="E101" s="6"/>
      <c r="F101" s="6"/>
    </row>
    <row r="102" spans="1:6" ht="12.75">
      <c r="A102" s="13" t="s">
        <v>49</v>
      </c>
      <c r="B102" s="6">
        <v>932986</v>
      </c>
      <c r="C102" s="6">
        <v>726475</v>
      </c>
      <c r="D102" s="17"/>
      <c r="E102" s="6">
        <v>784028</v>
      </c>
      <c r="F102" s="6">
        <v>827974</v>
      </c>
    </row>
    <row r="103" spans="1:6" ht="12.75">
      <c r="A103" s="13" t="s">
        <v>50</v>
      </c>
      <c r="B103" s="6">
        <v>0</v>
      </c>
      <c r="C103" s="6">
        <v>0</v>
      </c>
      <c r="D103" s="17"/>
      <c r="E103" s="6">
        <v>0</v>
      </c>
      <c r="F103" s="6">
        <v>0</v>
      </c>
    </row>
    <row r="104" spans="1:6" ht="12.75">
      <c r="A104" s="13" t="s">
        <v>52</v>
      </c>
      <c r="B104" s="6">
        <v>77935</v>
      </c>
      <c r="C104" s="6">
        <v>80777</v>
      </c>
      <c r="D104" s="17"/>
      <c r="E104" s="6">
        <v>95915</v>
      </c>
      <c r="F104" s="6">
        <v>46375</v>
      </c>
    </row>
    <row r="105" spans="1:6" ht="12.75">
      <c r="A105" s="13" t="s">
        <v>51</v>
      </c>
      <c r="B105" s="6">
        <v>371728</v>
      </c>
      <c r="C105" s="6">
        <v>297145</v>
      </c>
      <c r="D105" s="17"/>
      <c r="E105" s="6">
        <v>297797</v>
      </c>
      <c r="F105" s="6">
        <v>301927</v>
      </c>
    </row>
    <row r="106" spans="1:6" ht="12.75">
      <c r="A106" s="13" t="s">
        <v>54</v>
      </c>
      <c r="B106" s="14">
        <f>SUM(B102:B105)</f>
        <v>1382649</v>
      </c>
      <c r="C106" s="14">
        <f>SUM(C102:C105)</f>
        <v>1104397</v>
      </c>
      <c r="D106" s="18"/>
      <c r="E106" s="14">
        <f>SUM(E102:E105)</f>
        <v>1177740</v>
      </c>
      <c r="F106" s="14">
        <f>SUM(F102:F105)</f>
        <v>1176276</v>
      </c>
    </row>
    <row r="107" spans="1:6" ht="12.75">
      <c r="A107" s="13" t="s">
        <v>114</v>
      </c>
      <c r="B107" s="3">
        <f>(B106-E106)/B106</f>
        <v>0.14820030246288105</v>
      </c>
      <c r="C107" s="3">
        <f>(C106-F106)/C106</f>
        <v>-0.06508438541575176</v>
      </c>
      <c r="D107" s="18"/>
      <c r="E107" s="14"/>
      <c r="F107" s="14"/>
    </row>
    <row r="108" spans="1:6" ht="12.75">
      <c r="A108" s="11" t="s">
        <v>14</v>
      </c>
      <c r="B108" s="6"/>
      <c r="C108" s="6"/>
      <c r="D108" s="17"/>
      <c r="E108" s="6"/>
      <c r="F108" s="6"/>
    </row>
    <row r="109" spans="1:6" ht="12.75">
      <c r="A109" s="13" t="s">
        <v>49</v>
      </c>
      <c r="B109" s="6">
        <v>476491</v>
      </c>
      <c r="C109" s="6">
        <v>441834</v>
      </c>
      <c r="D109" s="17"/>
      <c r="E109" s="6">
        <v>384838</v>
      </c>
      <c r="F109" s="6">
        <v>521940</v>
      </c>
    </row>
    <row r="110" spans="1:6" ht="12.75">
      <c r="A110" s="13" t="s">
        <v>50</v>
      </c>
      <c r="B110" s="6">
        <v>11724</v>
      </c>
      <c r="C110" s="6">
        <v>11276</v>
      </c>
      <c r="D110" s="17"/>
      <c r="E110" s="6">
        <v>8441</v>
      </c>
      <c r="F110" s="6">
        <v>9066</v>
      </c>
    </row>
    <row r="111" spans="1:6" ht="12.75">
      <c r="A111" s="13" t="s">
        <v>52</v>
      </c>
      <c r="B111" s="6">
        <v>147801</v>
      </c>
      <c r="C111" s="6">
        <v>79266</v>
      </c>
      <c r="D111" s="17"/>
      <c r="E111" s="6">
        <v>98910</v>
      </c>
      <c r="F111" s="6">
        <v>75338</v>
      </c>
    </row>
    <row r="112" spans="1:6" ht="12.75">
      <c r="A112" s="13" t="s">
        <v>51</v>
      </c>
      <c r="B112" s="6">
        <v>104328</v>
      </c>
      <c r="C112" s="6">
        <v>96903</v>
      </c>
      <c r="D112" s="17"/>
      <c r="E112" s="6">
        <v>104420</v>
      </c>
      <c r="F112" s="6">
        <v>102209</v>
      </c>
    </row>
    <row r="113" spans="1:6" ht="12.75">
      <c r="A113" s="13" t="s">
        <v>54</v>
      </c>
      <c r="B113" s="14">
        <f>SUM(B109:B112)</f>
        <v>740344</v>
      </c>
      <c r="C113" s="14">
        <f>SUM(C109:C112)</f>
        <v>629279</v>
      </c>
      <c r="D113" s="18"/>
      <c r="E113" s="14">
        <f>SUM(E109:E112)</f>
        <v>596609</v>
      </c>
      <c r="F113" s="14">
        <f>SUM(F109:F112)</f>
        <v>708553</v>
      </c>
    </row>
    <row r="114" spans="1:6" ht="12.75">
      <c r="A114" s="13" t="s">
        <v>114</v>
      </c>
      <c r="B114" s="3">
        <f>(B113-E113)/B113</f>
        <v>0.1941462347233178</v>
      </c>
      <c r="C114" s="3">
        <f>(C113-F113)/C113</f>
        <v>-0.12597591847177483</v>
      </c>
      <c r="D114" s="18"/>
      <c r="E114" s="14"/>
      <c r="F114" s="14"/>
    </row>
    <row r="115" spans="1:6" ht="12.75">
      <c r="A115" s="11" t="s">
        <v>15</v>
      </c>
      <c r="B115" s="6"/>
      <c r="C115" s="6"/>
      <c r="D115" s="17"/>
      <c r="E115" s="6"/>
      <c r="F115" s="6"/>
    </row>
    <row r="116" spans="1:6" ht="12.75">
      <c r="A116" s="13" t="s">
        <v>49</v>
      </c>
      <c r="B116" s="6">
        <v>3304466</v>
      </c>
      <c r="C116" s="6">
        <v>2489749</v>
      </c>
      <c r="D116" s="17"/>
      <c r="E116" s="6">
        <v>3026218</v>
      </c>
      <c r="F116" s="6">
        <v>2688127</v>
      </c>
    </row>
    <row r="117" spans="1:6" ht="12.75">
      <c r="A117" s="13" t="s">
        <v>50</v>
      </c>
      <c r="B117" s="6">
        <v>728</v>
      </c>
      <c r="C117" s="6">
        <v>689</v>
      </c>
      <c r="D117" s="17"/>
      <c r="E117" s="6">
        <v>526</v>
      </c>
      <c r="F117" s="6">
        <v>1007</v>
      </c>
    </row>
    <row r="118" spans="1:6" ht="12.75">
      <c r="A118" s="13" t="s">
        <v>52</v>
      </c>
      <c r="B118" s="6">
        <v>350164</v>
      </c>
      <c r="C118" s="6">
        <v>265908</v>
      </c>
      <c r="D118" s="17"/>
      <c r="E118" s="6">
        <v>425524</v>
      </c>
      <c r="F118" s="6">
        <v>139148</v>
      </c>
    </row>
    <row r="119" spans="1:6" ht="12.75">
      <c r="A119" s="13" t="s">
        <v>51</v>
      </c>
      <c r="B119" s="6">
        <v>1636148</v>
      </c>
      <c r="C119" s="6">
        <v>1071772</v>
      </c>
      <c r="D119" s="17"/>
      <c r="E119" s="6">
        <v>1200263</v>
      </c>
      <c r="F119" s="6">
        <v>982925</v>
      </c>
    </row>
    <row r="120" spans="1:6" ht="12.75">
      <c r="A120" s="13" t="s">
        <v>54</v>
      </c>
      <c r="B120" s="14">
        <f>SUM(B116:B119)</f>
        <v>5291506</v>
      </c>
      <c r="C120" s="14">
        <f>SUM(C116:C119)</f>
        <v>3828118</v>
      </c>
      <c r="D120" s="18"/>
      <c r="E120" s="14">
        <f>SUM(E116:E119)</f>
        <v>4652531</v>
      </c>
      <c r="F120" s="14">
        <f>SUM(F116:F119)</f>
        <v>3811207</v>
      </c>
    </row>
    <row r="121" spans="1:6" ht="12.75">
      <c r="A121" s="13" t="s">
        <v>114</v>
      </c>
      <c r="B121" s="3">
        <f>(B120-E120)/B120</f>
        <v>0.12075484748576303</v>
      </c>
      <c r="C121" s="3">
        <f>(C120-F120)/C120</f>
        <v>0.004417575424790981</v>
      </c>
      <c r="D121" s="17"/>
      <c r="E121" s="6"/>
      <c r="F121" s="6"/>
    </row>
    <row r="122" spans="1:6" ht="12.75">
      <c r="A122" s="11" t="s">
        <v>16</v>
      </c>
      <c r="B122" s="6"/>
      <c r="C122" s="6"/>
      <c r="D122" s="17"/>
      <c r="E122" s="6"/>
      <c r="F122" s="6"/>
    </row>
    <row r="123" spans="1:6" ht="12.75">
      <c r="A123" s="13" t="s">
        <v>49</v>
      </c>
      <c r="B123" s="6">
        <v>1322100</v>
      </c>
      <c r="C123" s="6">
        <v>1162875</v>
      </c>
      <c r="D123" s="17"/>
      <c r="E123" s="6">
        <v>1250166</v>
      </c>
      <c r="F123" s="6">
        <v>1060378</v>
      </c>
    </row>
    <row r="124" spans="1:6" ht="12.75">
      <c r="A124" s="13" t="s">
        <v>50</v>
      </c>
      <c r="B124" s="6">
        <v>0</v>
      </c>
      <c r="C124" s="6">
        <v>0</v>
      </c>
      <c r="D124" s="17"/>
      <c r="E124" s="6">
        <v>0</v>
      </c>
      <c r="F124" s="6">
        <v>0</v>
      </c>
    </row>
    <row r="125" spans="1:6" ht="12.75">
      <c r="A125" s="13" t="s">
        <v>52</v>
      </c>
      <c r="B125" s="6">
        <v>605875</v>
      </c>
      <c r="C125" s="6">
        <v>399159</v>
      </c>
      <c r="D125" s="17"/>
      <c r="E125" s="6">
        <v>610996</v>
      </c>
      <c r="F125" s="6">
        <v>369901</v>
      </c>
    </row>
    <row r="126" spans="1:6" ht="12.75">
      <c r="A126" s="13" t="s">
        <v>51</v>
      </c>
      <c r="B126" s="6">
        <v>162639</v>
      </c>
      <c r="C126" s="6">
        <v>190067</v>
      </c>
      <c r="D126" s="17"/>
      <c r="E126" s="6">
        <v>211416</v>
      </c>
      <c r="F126" s="6">
        <v>236942</v>
      </c>
    </row>
    <row r="127" spans="1:6" ht="12.75">
      <c r="A127" s="13" t="s">
        <v>54</v>
      </c>
      <c r="B127" s="14">
        <f>SUM(B123:B126)</f>
        <v>2090614</v>
      </c>
      <c r="C127" s="14">
        <f>SUM(C123:C126)</f>
        <v>1752101</v>
      </c>
      <c r="D127" s="18"/>
      <c r="E127" s="14">
        <f>SUM(E123:E126)</f>
        <v>2072578</v>
      </c>
      <c r="F127" s="14">
        <f>SUM(F123:F126)</f>
        <v>1667221</v>
      </c>
    </row>
    <row r="128" spans="1:6" ht="12.75">
      <c r="A128" s="13" t="s">
        <v>114</v>
      </c>
      <c r="B128" s="3">
        <f>(B127-E127)/B127</f>
        <v>0.008627130594169943</v>
      </c>
      <c r="C128" s="3">
        <f>(C127-F127)/C127</f>
        <v>0.04844469582518359</v>
      </c>
      <c r="D128" s="17"/>
      <c r="E128" s="6"/>
      <c r="F128" s="6"/>
    </row>
    <row r="129" spans="1:6" ht="12.75">
      <c r="A129" s="11" t="s">
        <v>17</v>
      </c>
      <c r="B129" s="6"/>
      <c r="C129" s="6"/>
      <c r="D129" s="17"/>
      <c r="E129" s="6"/>
      <c r="F129" s="6"/>
    </row>
    <row r="130" spans="1:6" ht="12.75">
      <c r="A130" s="13" t="s">
        <v>49</v>
      </c>
      <c r="B130" s="6">
        <v>2717985</v>
      </c>
      <c r="C130" s="6">
        <v>2433893</v>
      </c>
      <c r="D130" s="17"/>
      <c r="E130" s="6">
        <v>1977734</v>
      </c>
      <c r="F130" s="6">
        <v>1935274</v>
      </c>
    </row>
    <row r="131" spans="1:6" ht="12.75">
      <c r="A131" s="13" t="s">
        <v>50</v>
      </c>
      <c r="B131" s="6">
        <v>0</v>
      </c>
      <c r="C131" s="6">
        <v>0</v>
      </c>
      <c r="D131" s="17"/>
      <c r="E131" s="6">
        <v>0</v>
      </c>
      <c r="F131" s="6">
        <v>0</v>
      </c>
    </row>
    <row r="132" spans="1:6" ht="12.75">
      <c r="A132" s="13" t="s">
        <v>52</v>
      </c>
      <c r="B132" s="6">
        <v>1063622</v>
      </c>
      <c r="C132" s="6">
        <v>839227</v>
      </c>
      <c r="D132" s="17"/>
      <c r="E132" s="6">
        <v>774698</v>
      </c>
      <c r="F132" s="6">
        <v>775513</v>
      </c>
    </row>
    <row r="133" spans="1:6" ht="12.75">
      <c r="A133" s="13" t="s">
        <v>51</v>
      </c>
      <c r="B133" s="6">
        <v>929449</v>
      </c>
      <c r="C133" s="6">
        <v>863117</v>
      </c>
      <c r="D133" s="17"/>
      <c r="E133" s="6">
        <v>1140035</v>
      </c>
      <c r="F133" s="6">
        <v>917799</v>
      </c>
    </row>
    <row r="134" spans="1:6" ht="12.75">
      <c r="A134" s="13" t="s">
        <v>54</v>
      </c>
      <c r="B134" s="14">
        <f>SUM(B130:B133)</f>
        <v>4711056</v>
      </c>
      <c r="C134" s="14">
        <f>SUM(C130:C133)</f>
        <v>4136237</v>
      </c>
      <c r="D134" s="18"/>
      <c r="E134" s="14">
        <f>SUM(E130:E133)</f>
        <v>3892467</v>
      </c>
      <c r="F134" s="14">
        <f>SUM(F130:F133)</f>
        <v>3628586</v>
      </c>
    </row>
    <row r="135" spans="1:6" ht="12.75">
      <c r="A135" s="13" t="s">
        <v>114</v>
      </c>
      <c r="B135" s="3">
        <f>(B134-E134)/B134</f>
        <v>0.17375913171059737</v>
      </c>
      <c r="C135" s="3">
        <f>(C134-F134)/C134</f>
        <v>0.12273257069166975</v>
      </c>
      <c r="D135" s="17"/>
      <c r="E135" s="6"/>
      <c r="F135" s="6"/>
    </row>
    <row r="136" spans="1:6" ht="12.75">
      <c r="A136" s="11" t="s">
        <v>26</v>
      </c>
      <c r="B136" s="6"/>
      <c r="C136" s="6"/>
      <c r="D136" s="17"/>
      <c r="E136" s="6"/>
      <c r="F136" s="6"/>
    </row>
    <row r="137" spans="1:6" ht="12.75">
      <c r="A137" s="13" t="s">
        <v>49</v>
      </c>
      <c r="B137" s="6">
        <v>0</v>
      </c>
      <c r="C137" s="6">
        <v>0</v>
      </c>
      <c r="D137" s="17"/>
      <c r="E137" s="6">
        <v>0</v>
      </c>
      <c r="F137" s="6">
        <v>0</v>
      </c>
    </row>
    <row r="138" spans="1:6" ht="12.75">
      <c r="A138" s="13" t="s">
        <v>50</v>
      </c>
      <c r="B138" s="6">
        <v>0</v>
      </c>
      <c r="C138" s="6">
        <v>0</v>
      </c>
      <c r="D138" s="17"/>
      <c r="E138" s="6">
        <v>0</v>
      </c>
      <c r="F138" s="6">
        <v>0</v>
      </c>
    </row>
    <row r="139" spans="1:6" ht="12.75">
      <c r="A139" s="13" t="s">
        <v>52</v>
      </c>
      <c r="B139" s="6">
        <v>0</v>
      </c>
      <c r="C139" s="6">
        <v>0</v>
      </c>
      <c r="D139" s="17"/>
      <c r="E139" s="6">
        <v>0</v>
      </c>
      <c r="F139" s="6">
        <v>0</v>
      </c>
    </row>
    <row r="140" spans="1:6" ht="12.75">
      <c r="A140" s="13" t="s">
        <v>51</v>
      </c>
      <c r="B140" s="6">
        <v>0</v>
      </c>
      <c r="C140" s="6">
        <v>0</v>
      </c>
      <c r="D140" s="17"/>
      <c r="E140" s="6">
        <v>0</v>
      </c>
      <c r="F140" s="6">
        <v>0</v>
      </c>
    </row>
    <row r="141" spans="1:6" ht="12.75">
      <c r="A141" s="13" t="s">
        <v>54</v>
      </c>
      <c r="B141" s="14">
        <f>SUM(B137:B140)</f>
        <v>0</v>
      </c>
      <c r="C141" s="14">
        <f>SUM(C137:C140)</f>
        <v>0</v>
      </c>
      <c r="D141" s="18"/>
      <c r="E141" s="14">
        <f>SUM(E137:E140)</f>
        <v>0</v>
      </c>
      <c r="F141" s="14">
        <f>SUM(F137:F140)</f>
        <v>0</v>
      </c>
    </row>
    <row r="142" spans="1:6" ht="12.75">
      <c r="A142" s="13" t="s">
        <v>114</v>
      </c>
      <c r="B142" s="6"/>
      <c r="C142" s="6"/>
      <c r="D142" s="17"/>
      <c r="E142" s="6"/>
      <c r="F142" s="6"/>
    </row>
    <row r="143" spans="1:6" ht="12.75">
      <c r="A143" s="11" t="s">
        <v>18</v>
      </c>
      <c r="B143" s="6"/>
      <c r="C143" s="6"/>
      <c r="D143" s="17"/>
      <c r="E143" s="6"/>
      <c r="F143" s="6"/>
    </row>
    <row r="144" spans="1:6" ht="12.75">
      <c r="A144" s="13" t="s">
        <v>49</v>
      </c>
      <c r="B144" s="6">
        <v>390096</v>
      </c>
      <c r="C144" s="6">
        <v>531673</v>
      </c>
      <c r="D144" s="17"/>
      <c r="E144" s="6">
        <v>326877</v>
      </c>
      <c r="F144" s="6">
        <v>490794</v>
      </c>
    </row>
    <row r="145" spans="1:6" ht="12.75">
      <c r="A145" s="13" t="s">
        <v>50</v>
      </c>
      <c r="B145" s="6">
        <v>56</v>
      </c>
      <c r="C145" s="6">
        <v>70</v>
      </c>
      <c r="D145" s="17"/>
      <c r="E145" s="6">
        <v>8</v>
      </c>
      <c r="F145" s="6">
        <v>8</v>
      </c>
    </row>
    <row r="146" spans="1:6" ht="12.75">
      <c r="A146" s="13" t="s">
        <v>52</v>
      </c>
      <c r="B146" s="6">
        <v>77320</v>
      </c>
      <c r="C146" s="6">
        <v>155189</v>
      </c>
      <c r="D146" s="17"/>
      <c r="E146" s="6">
        <v>91818</v>
      </c>
      <c r="F146" s="6">
        <v>58105</v>
      </c>
    </row>
    <row r="147" spans="1:6" ht="12.75">
      <c r="A147" s="13" t="s">
        <v>51</v>
      </c>
      <c r="B147" s="6">
        <v>297640</v>
      </c>
      <c r="C147" s="6">
        <v>272341</v>
      </c>
      <c r="D147" s="17"/>
      <c r="E147" s="6">
        <v>255063</v>
      </c>
      <c r="F147" s="6">
        <v>264588</v>
      </c>
    </row>
    <row r="148" spans="1:6" ht="12.75">
      <c r="A148" s="13" t="s">
        <v>54</v>
      </c>
      <c r="B148" s="14">
        <f>SUM(B144:B147)</f>
        <v>765112</v>
      </c>
      <c r="C148" s="14">
        <f>SUM(C144:C147)</f>
        <v>959273</v>
      </c>
      <c r="D148" s="18"/>
      <c r="E148" s="14">
        <f>SUM(E144:E147)</f>
        <v>673766</v>
      </c>
      <c r="F148" s="14">
        <f>SUM(F144:F147)</f>
        <v>813495</v>
      </c>
    </row>
    <row r="149" spans="1:6" ht="12.75">
      <c r="A149" s="13" t="s">
        <v>114</v>
      </c>
      <c r="B149" s="3">
        <f>(B148-E148)/B148</f>
        <v>0.11938905676554544</v>
      </c>
      <c r="C149" s="3">
        <f>(C148-F148)/C148</f>
        <v>0.1519671668023597</v>
      </c>
      <c r="D149" s="17"/>
      <c r="E149" s="6"/>
      <c r="F149" s="6"/>
    </row>
    <row r="150" spans="1:6" ht="12.75">
      <c r="A150" s="11" t="s">
        <v>27</v>
      </c>
      <c r="B150" s="6"/>
      <c r="C150" s="6"/>
      <c r="D150" s="17"/>
      <c r="E150" s="6"/>
      <c r="F150" s="6"/>
    </row>
    <row r="151" spans="1:6" ht="12.75">
      <c r="A151" s="13" t="s">
        <v>49</v>
      </c>
      <c r="B151" s="6">
        <v>4813464</v>
      </c>
      <c r="C151" s="6">
        <v>3523453</v>
      </c>
      <c r="D151" s="17"/>
      <c r="E151" s="6">
        <v>4150118</v>
      </c>
      <c r="F151" s="6">
        <v>3435578</v>
      </c>
    </row>
    <row r="152" spans="1:6" ht="12.75">
      <c r="A152" s="13" t="s">
        <v>50</v>
      </c>
      <c r="B152" s="28">
        <v>0</v>
      </c>
      <c r="C152" s="28">
        <v>0</v>
      </c>
      <c r="D152" s="17"/>
      <c r="E152" s="6">
        <v>0</v>
      </c>
      <c r="F152" s="6">
        <v>0</v>
      </c>
    </row>
    <row r="153" spans="1:6" ht="12.75">
      <c r="A153" s="13" t="s">
        <v>52</v>
      </c>
      <c r="B153" s="6">
        <v>616287</v>
      </c>
      <c r="C153" s="6">
        <v>376653</v>
      </c>
      <c r="D153" s="17"/>
      <c r="E153" s="6">
        <v>713814</v>
      </c>
      <c r="F153" s="6">
        <v>428571</v>
      </c>
    </row>
    <row r="154" spans="1:6" ht="12.75">
      <c r="A154" s="13" t="s">
        <v>51</v>
      </c>
      <c r="B154" s="6">
        <v>945458</v>
      </c>
      <c r="C154" s="6">
        <v>653122</v>
      </c>
      <c r="D154" s="17"/>
      <c r="E154" s="6">
        <v>1105922</v>
      </c>
      <c r="F154" s="6">
        <v>818626</v>
      </c>
    </row>
    <row r="155" spans="1:6" ht="12.75">
      <c r="A155" s="13" t="s">
        <v>54</v>
      </c>
      <c r="B155" s="14">
        <v>6375209</v>
      </c>
      <c r="C155" s="14">
        <v>4553228</v>
      </c>
      <c r="D155" s="18"/>
      <c r="E155" s="14">
        <f>SUM(E151:E154)</f>
        <v>5969854</v>
      </c>
      <c r="F155" s="14">
        <f>SUM(F151:F154)</f>
        <v>4682775</v>
      </c>
    </row>
    <row r="156" spans="1:6" ht="12.75">
      <c r="A156" s="13" t="s">
        <v>114</v>
      </c>
      <c r="B156" s="3">
        <f>(B155-E155)/B155</f>
        <v>0.06358301351375303</v>
      </c>
      <c r="C156" s="3">
        <f>(C155-F155)/C155</f>
        <v>-0.028451683069681554</v>
      </c>
      <c r="D156" s="17"/>
      <c r="E156" s="6"/>
      <c r="F156" s="6"/>
    </row>
    <row r="157" spans="1:6" ht="12.75">
      <c r="A157" s="11" t="s">
        <v>19</v>
      </c>
      <c r="B157" s="6"/>
      <c r="C157" s="6"/>
      <c r="D157" s="17"/>
      <c r="E157" s="6"/>
      <c r="F157" s="6"/>
    </row>
    <row r="158" spans="1:6" ht="12.75">
      <c r="A158" s="13" t="s">
        <v>49</v>
      </c>
      <c r="B158" s="6">
        <v>110847</v>
      </c>
      <c r="C158" s="6">
        <v>62281</v>
      </c>
      <c r="D158" s="17"/>
      <c r="E158" s="6">
        <v>90759</v>
      </c>
      <c r="F158" s="6">
        <v>101408</v>
      </c>
    </row>
    <row r="159" spans="1:6" ht="12.75">
      <c r="A159" s="13" t="s">
        <v>50</v>
      </c>
      <c r="B159" s="6">
        <v>0</v>
      </c>
      <c r="C159" s="6">
        <v>0</v>
      </c>
      <c r="D159" s="17"/>
      <c r="E159" s="6">
        <v>0</v>
      </c>
      <c r="F159" s="6">
        <v>0</v>
      </c>
    </row>
    <row r="160" spans="1:6" ht="12.75">
      <c r="A160" s="13" t="s">
        <v>52</v>
      </c>
      <c r="B160" s="6">
        <v>65592</v>
      </c>
      <c r="C160" s="6">
        <v>38531</v>
      </c>
      <c r="D160" s="17"/>
      <c r="E160" s="6">
        <v>42199</v>
      </c>
      <c r="F160" s="6">
        <v>24760</v>
      </c>
    </row>
    <row r="161" spans="1:6" ht="12.75">
      <c r="A161" s="13" t="s">
        <v>51</v>
      </c>
      <c r="B161" s="6">
        <v>48672</v>
      </c>
      <c r="C161" s="6">
        <v>45369</v>
      </c>
      <c r="D161" s="17"/>
      <c r="E161" s="6">
        <v>29088</v>
      </c>
      <c r="F161" s="6">
        <v>28190</v>
      </c>
    </row>
    <row r="162" spans="1:6" ht="12.75">
      <c r="A162" s="13" t="s">
        <v>54</v>
      </c>
      <c r="B162" s="14">
        <f>SUM(B158:B161)</f>
        <v>225111</v>
      </c>
      <c r="C162" s="14">
        <f>SUM(C158:C161)</f>
        <v>146181</v>
      </c>
      <c r="D162" s="18"/>
      <c r="E162" s="14">
        <f>SUM(E158:E161)</f>
        <v>162046</v>
      </c>
      <c r="F162" s="14">
        <f>SUM(F158:F161)</f>
        <v>154358</v>
      </c>
    </row>
    <row r="163" spans="1:6" ht="12.75">
      <c r="A163" s="13" t="s">
        <v>114</v>
      </c>
      <c r="B163" s="3">
        <f>(B162-E162)/B162</f>
        <v>0.2801506812194873</v>
      </c>
      <c r="C163" s="3">
        <f>(C162-F162)/C162</f>
        <v>-0.05593750213776072</v>
      </c>
      <c r="D163" s="17"/>
      <c r="E163" s="6"/>
      <c r="F163" s="6"/>
    </row>
    <row r="164" spans="1:6" ht="12.75">
      <c r="A164" s="11" t="s">
        <v>20</v>
      </c>
      <c r="B164" s="6"/>
      <c r="C164" s="6"/>
      <c r="D164" s="17"/>
      <c r="E164" s="6"/>
      <c r="F164" s="6"/>
    </row>
    <row r="165" spans="1:6" ht="12.75">
      <c r="A165" s="13" t="s">
        <v>49</v>
      </c>
      <c r="B165" s="6">
        <v>105257</v>
      </c>
      <c r="C165" s="6">
        <v>78221</v>
      </c>
      <c r="D165" s="17"/>
      <c r="E165" s="6">
        <v>87593</v>
      </c>
      <c r="F165" s="6">
        <v>100579</v>
      </c>
    </row>
    <row r="166" spans="1:6" ht="12.75">
      <c r="A166" s="13" t="s">
        <v>50</v>
      </c>
      <c r="B166" s="6">
        <v>4</v>
      </c>
      <c r="C166" s="6">
        <v>1</v>
      </c>
      <c r="D166" s="17"/>
      <c r="E166" s="6">
        <v>0</v>
      </c>
      <c r="F166" s="6">
        <v>0</v>
      </c>
    </row>
    <row r="167" spans="1:6" ht="12.75">
      <c r="A167" s="13" t="s">
        <v>52</v>
      </c>
      <c r="B167" s="6">
        <v>28554</v>
      </c>
      <c r="C167" s="6">
        <v>28698</v>
      </c>
      <c r="D167" s="17"/>
      <c r="E167" s="6">
        <v>16715</v>
      </c>
      <c r="F167" s="6">
        <v>11105</v>
      </c>
    </row>
    <row r="168" spans="1:6" ht="12.75">
      <c r="A168" s="13" t="s">
        <v>51</v>
      </c>
      <c r="B168" s="6">
        <v>56312</v>
      </c>
      <c r="C168" s="6">
        <v>42298</v>
      </c>
      <c r="D168" s="17"/>
      <c r="E168" s="6">
        <v>131048</v>
      </c>
      <c r="F168" s="6">
        <v>118093</v>
      </c>
    </row>
    <row r="169" spans="1:6" ht="12.75">
      <c r="A169" s="13" t="s">
        <v>54</v>
      </c>
      <c r="B169" s="14">
        <f>SUM(B165:B168)</f>
        <v>190127</v>
      </c>
      <c r="C169" s="14">
        <f>SUM(C165:C168)</f>
        <v>149218</v>
      </c>
      <c r="D169" s="18"/>
      <c r="E169" s="14">
        <f>SUM(E165:E168)</f>
        <v>235356</v>
      </c>
      <c r="F169" s="14">
        <f>SUM(F165:F168)</f>
        <v>229777</v>
      </c>
    </row>
    <row r="170" spans="1:6" ht="12.75">
      <c r="A170" s="13" t="s">
        <v>114</v>
      </c>
      <c r="B170" s="3">
        <f>(B169-E169)/B169</f>
        <v>-0.23788835883383214</v>
      </c>
      <c r="C170" s="3">
        <f>(C169-F169)/C169</f>
        <v>-0.5398745459663044</v>
      </c>
      <c r="D170" s="17"/>
      <c r="E170" s="6"/>
      <c r="F170" s="6"/>
    </row>
    <row r="171" spans="1:6" ht="12.75">
      <c r="A171" s="11" t="s">
        <v>21</v>
      </c>
      <c r="B171" s="6"/>
      <c r="C171" s="6"/>
      <c r="D171" s="17"/>
      <c r="E171" s="6"/>
      <c r="F171" s="6"/>
    </row>
    <row r="172" spans="1:6" ht="12.75">
      <c r="A172" s="13" t="s">
        <v>49</v>
      </c>
      <c r="B172" s="6">
        <v>2899178</v>
      </c>
      <c r="C172" s="6">
        <v>1716237</v>
      </c>
      <c r="D172" s="17"/>
      <c r="E172" s="6">
        <v>2690147</v>
      </c>
      <c r="F172" s="6">
        <v>1580224</v>
      </c>
    </row>
    <row r="173" spans="1:6" ht="12.75">
      <c r="A173" s="13" t="s">
        <v>50</v>
      </c>
      <c r="B173" s="6">
        <v>0</v>
      </c>
      <c r="C173" s="6">
        <v>0</v>
      </c>
      <c r="D173" s="17"/>
      <c r="E173" s="6">
        <v>20</v>
      </c>
      <c r="F173" s="6">
        <v>30</v>
      </c>
    </row>
    <row r="174" spans="1:6" ht="12.75">
      <c r="A174" s="13" t="s">
        <v>52</v>
      </c>
      <c r="B174" s="6">
        <v>385190</v>
      </c>
      <c r="C174" s="6">
        <v>233764</v>
      </c>
      <c r="D174" s="17"/>
      <c r="E174" s="6">
        <v>428429</v>
      </c>
      <c r="F174" s="6">
        <v>210986</v>
      </c>
    </row>
    <row r="175" spans="1:6" ht="12.75">
      <c r="A175" s="13" t="s">
        <v>51</v>
      </c>
      <c r="B175" s="6">
        <v>1751224</v>
      </c>
      <c r="C175" s="6">
        <v>1538876</v>
      </c>
      <c r="D175" s="17"/>
      <c r="E175" s="6">
        <v>1345069</v>
      </c>
      <c r="F175" s="6">
        <v>1416620</v>
      </c>
    </row>
    <row r="176" spans="1:6" ht="12.75">
      <c r="A176" s="13" t="s">
        <v>54</v>
      </c>
      <c r="B176" s="14">
        <f>SUM(B172:B175)</f>
        <v>5035592</v>
      </c>
      <c r="C176" s="14">
        <f>SUM(C172:C175)</f>
        <v>3488877</v>
      </c>
      <c r="D176" s="18"/>
      <c r="E176" s="14">
        <f>SUM(E172:E175)</f>
        <v>4463665</v>
      </c>
      <c r="F176" s="14">
        <f>SUM(F172:F175)</f>
        <v>3207860</v>
      </c>
    </row>
    <row r="177" spans="1:6" ht="12.75">
      <c r="A177" s="13" t="s">
        <v>114</v>
      </c>
      <c r="B177" s="3">
        <f>(B176-E176)/B176</f>
        <v>0.11357691409470823</v>
      </c>
      <c r="C177" s="3">
        <f>(C176-F176)/C176</f>
        <v>0.08054654835925715</v>
      </c>
      <c r="D177" s="17"/>
      <c r="E177" s="6"/>
      <c r="F177" s="6"/>
    </row>
    <row r="178" spans="1:6" ht="12.75">
      <c r="A178" s="11" t="s">
        <v>22</v>
      </c>
      <c r="B178" s="6"/>
      <c r="C178" s="6"/>
      <c r="D178" s="17"/>
      <c r="E178" s="6"/>
      <c r="F178" s="6"/>
    </row>
    <row r="179" spans="1:6" ht="12.75">
      <c r="A179" s="13" t="s">
        <v>49</v>
      </c>
      <c r="B179" s="6">
        <v>643090</v>
      </c>
      <c r="C179" s="6">
        <v>509477</v>
      </c>
      <c r="D179" s="17"/>
      <c r="E179" s="6">
        <v>577510</v>
      </c>
      <c r="F179" s="6">
        <v>450095</v>
      </c>
    </row>
    <row r="180" spans="1:6" ht="12.75">
      <c r="A180" s="13" t="s">
        <v>50</v>
      </c>
      <c r="B180" s="6">
        <v>0</v>
      </c>
      <c r="C180" s="6">
        <v>0</v>
      </c>
      <c r="D180" s="17"/>
      <c r="E180" s="6">
        <v>0</v>
      </c>
      <c r="F180" s="6">
        <v>0</v>
      </c>
    </row>
    <row r="181" spans="1:6" ht="12.75">
      <c r="A181" s="13" t="s">
        <v>52</v>
      </c>
      <c r="B181" s="6">
        <v>157979</v>
      </c>
      <c r="C181" s="6">
        <v>148292</v>
      </c>
      <c r="D181" s="17"/>
      <c r="E181" s="6">
        <v>152408</v>
      </c>
      <c r="F181" s="6">
        <v>136225</v>
      </c>
    </row>
    <row r="182" spans="1:6" ht="12.75">
      <c r="A182" s="13" t="s">
        <v>51</v>
      </c>
      <c r="B182" s="6">
        <v>226656</v>
      </c>
      <c r="C182" s="6">
        <v>96157</v>
      </c>
      <c r="D182" s="17"/>
      <c r="E182" s="6">
        <v>208183</v>
      </c>
      <c r="F182" s="6">
        <v>67365</v>
      </c>
    </row>
    <row r="183" spans="1:6" ht="12.75">
      <c r="A183" s="13" t="s">
        <v>54</v>
      </c>
      <c r="B183" s="14">
        <f>SUM(B179:B182)</f>
        <v>1027725</v>
      </c>
      <c r="C183" s="14">
        <f>SUM(C179:C182)</f>
        <v>753926</v>
      </c>
      <c r="D183" s="18"/>
      <c r="E183" s="14">
        <f>SUM(E179:E182)</f>
        <v>938101</v>
      </c>
      <c r="F183" s="14">
        <f>SUM(F179:F182)</f>
        <v>653685</v>
      </c>
    </row>
    <row r="184" spans="1:6" ht="12.75">
      <c r="A184" s="13" t="s">
        <v>114</v>
      </c>
      <c r="B184" s="3">
        <f>(B183-E183)/B183</f>
        <v>0.08720620788635092</v>
      </c>
      <c r="C184" s="3">
        <f>(C183-F183)/C183</f>
        <v>0.13295867233654232</v>
      </c>
      <c r="D184" s="17"/>
      <c r="E184" s="6"/>
      <c r="F184" s="6"/>
    </row>
    <row r="185" spans="1:6" ht="12.75">
      <c r="A185" s="11" t="s">
        <v>23</v>
      </c>
      <c r="B185" s="6"/>
      <c r="C185" s="6"/>
      <c r="D185" s="17"/>
      <c r="E185" s="6"/>
      <c r="F185" s="6"/>
    </row>
    <row r="186" spans="1:6" ht="12.75">
      <c r="A186" s="13" t="s">
        <v>49</v>
      </c>
      <c r="B186" s="6">
        <v>2856428</v>
      </c>
      <c r="C186" s="6">
        <v>2427388</v>
      </c>
      <c r="D186" s="17"/>
      <c r="E186" s="6">
        <v>2284179</v>
      </c>
      <c r="F186" s="6">
        <v>2150852</v>
      </c>
    </row>
    <row r="187" spans="1:6" ht="12.75">
      <c r="A187" s="13" t="s">
        <v>50</v>
      </c>
      <c r="B187" s="6">
        <v>10</v>
      </c>
      <c r="C187" s="6">
        <v>9</v>
      </c>
      <c r="D187" s="17"/>
      <c r="E187" s="6">
        <v>102</v>
      </c>
      <c r="F187" s="6">
        <v>93</v>
      </c>
    </row>
    <row r="188" spans="1:6" ht="12.75">
      <c r="A188" s="13" t="s">
        <v>52</v>
      </c>
      <c r="B188" s="6">
        <v>479472</v>
      </c>
      <c r="C188" s="6">
        <v>401446</v>
      </c>
      <c r="D188" s="17"/>
      <c r="E188" s="6">
        <v>467940</v>
      </c>
      <c r="F188" s="6">
        <v>253142</v>
      </c>
    </row>
    <row r="189" spans="1:6" ht="12.75">
      <c r="A189" s="13" t="s">
        <v>51</v>
      </c>
      <c r="B189" s="6">
        <v>1634596</v>
      </c>
      <c r="C189" s="6">
        <v>1558543</v>
      </c>
      <c r="D189" s="17"/>
      <c r="E189" s="6">
        <v>1397611</v>
      </c>
      <c r="F189" s="6">
        <v>1445091</v>
      </c>
    </row>
    <row r="190" spans="1:6" ht="12.75">
      <c r="A190" s="13" t="s">
        <v>54</v>
      </c>
      <c r="B190" s="14">
        <f>SUM(B186:B189)</f>
        <v>4970506</v>
      </c>
      <c r="C190" s="14">
        <f>SUM(C186:C189)</f>
        <v>4387386</v>
      </c>
      <c r="D190" s="18"/>
      <c r="E190" s="14">
        <f>SUM(E186:E189)</f>
        <v>4149832</v>
      </c>
      <c r="F190" s="14">
        <f>SUM(F186:F189)</f>
        <v>3849178</v>
      </c>
    </row>
    <row r="191" spans="1:6" ht="12.75">
      <c r="A191" s="13" t="s">
        <v>114</v>
      </c>
      <c r="B191" s="3">
        <f>(B190-E190)/B190</f>
        <v>0.16510874345589766</v>
      </c>
      <c r="C191" s="3">
        <f>(C190-F190)/C190</f>
        <v>0.12267167739515056</v>
      </c>
      <c r="D191" s="17"/>
      <c r="E191" s="6"/>
      <c r="F191" s="6"/>
    </row>
    <row r="192" spans="1:6" ht="12.75">
      <c r="A192" s="11" t="s">
        <v>24</v>
      </c>
      <c r="B192" s="6"/>
      <c r="C192" s="6"/>
      <c r="D192" s="17"/>
      <c r="E192" s="6"/>
      <c r="F192" s="6"/>
    </row>
    <row r="193" spans="1:6" ht="12.75">
      <c r="A193" s="13" t="s">
        <v>49</v>
      </c>
      <c r="B193" s="6">
        <v>101708</v>
      </c>
      <c r="C193" s="6">
        <v>117675</v>
      </c>
      <c r="D193" s="17"/>
      <c r="E193" s="6">
        <v>83713</v>
      </c>
      <c r="F193" s="6">
        <v>123028</v>
      </c>
    </row>
    <row r="194" spans="1:6" ht="12.75">
      <c r="A194" s="13" t="s">
        <v>50</v>
      </c>
      <c r="B194" s="6">
        <v>3</v>
      </c>
      <c r="C194" s="6">
        <v>2</v>
      </c>
      <c r="D194" s="17"/>
      <c r="E194" s="6">
        <v>12</v>
      </c>
      <c r="F194" s="6">
        <v>12</v>
      </c>
    </row>
    <row r="195" spans="1:6" ht="12.75">
      <c r="A195" s="13" t="s">
        <v>52</v>
      </c>
      <c r="B195" s="6">
        <v>18483</v>
      </c>
      <c r="C195" s="6">
        <v>23998</v>
      </c>
      <c r="D195" s="17"/>
      <c r="E195" s="6">
        <v>14609</v>
      </c>
      <c r="F195" s="6">
        <v>15395</v>
      </c>
    </row>
    <row r="196" spans="1:6" ht="12.75">
      <c r="A196" s="13" t="s">
        <v>51</v>
      </c>
      <c r="B196" s="6">
        <v>61831</v>
      </c>
      <c r="C196" s="6">
        <v>61661</v>
      </c>
      <c r="D196" s="17"/>
      <c r="E196" s="6">
        <v>164570</v>
      </c>
      <c r="F196" s="6">
        <v>159081</v>
      </c>
    </row>
    <row r="197" spans="1:6" ht="12.75">
      <c r="A197" s="13" t="s">
        <v>54</v>
      </c>
      <c r="B197" s="14">
        <f>SUM(B193:B196)</f>
        <v>182025</v>
      </c>
      <c r="C197" s="14">
        <f>SUM(C193:C196)</f>
        <v>203336</v>
      </c>
      <c r="D197" s="18"/>
      <c r="E197" s="14">
        <f>SUM(E193:E196)</f>
        <v>262904</v>
      </c>
      <c r="F197" s="14">
        <f>SUM(F193:F196)</f>
        <v>297516</v>
      </c>
    </row>
    <row r="198" spans="1:6" ht="12.75">
      <c r="A198" s="13" t="s">
        <v>114</v>
      </c>
      <c r="B198" s="3">
        <f>(B197-E197)/B197</f>
        <v>-0.44432907567641805</v>
      </c>
      <c r="C198" s="3">
        <f>(C197-F197)/C197</f>
        <v>-0.46317425345241375</v>
      </c>
      <c r="D198" s="18"/>
      <c r="E198" s="14"/>
      <c r="F198" s="14"/>
    </row>
    <row r="199" spans="2:6" ht="12.75">
      <c r="B199" s="6"/>
      <c r="C199" s="6"/>
      <c r="D199" s="17"/>
      <c r="E199" s="6"/>
      <c r="F199" s="6"/>
    </row>
    <row r="200" spans="1:6" ht="12.75">
      <c r="A200" s="11" t="s">
        <v>152</v>
      </c>
      <c r="B200" s="6"/>
      <c r="C200" s="6"/>
      <c r="D200" s="17"/>
      <c r="E200" s="6"/>
      <c r="F200" s="6"/>
    </row>
    <row r="201" spans="1:6" ht="12.75">
      <c r="A201" s="13" t="s">
        <v>49</v>
      </c>
      <c r="B201" s="37">
        <f>SUM(B4+B11+B18+B25+B32+B39+B46+B53+B60+B67+B74+B81+B88+B95+B102+B109+B116+B123+B130+B137+B144+B151+B158+B165+B172+B179+B186+B193)</f>
        <v>240925244</v>
      </c>
      <c r="C201" s="37">
        <f>SUM(C4+C11+C18+C25+C32+C39+C46+C53+C60+C67+C74+C81+C88+C95+C102+C109+C116+C123+C130+C137+C144+C151+C158+C165+C172+C179+C186+C193)</f>
        <v>185281504</v>
      </c>
      <c r="D201" s="17"/>
      <c r="E201" s="37">
        <f aca="true" t="shared" si="0" ref="E201:F204">SUM(E4+E11+E18+E25+E32+E39+E46+E53+E60+E67+E74+E81+E88+E95+E102+E109+E116+E123+E130+E137+E144+E151+E158+E165+E172+E179+E186+E193)</f>
        <v>226599853</v>
      </c>
      <c r="F201" s="37">
        <f t="shared" si="0"/>
        <v>178105189</v>
      </c>
    </row>
    <row r="202" spans="1:6" ht="12.75">
      <c r="A202" s="13" t="s">
        <v>50</v>
      </c>
      <c r="B202" s="37">
        <f>SUM(B5+B12+B19+B26+B33+B40+B47+B54+B61+B68+B75+B82+B89+B96+B103+B110+B117+B124+B131+B145+B152+B159+B166+B173+B180+B187+B194)</f>
        <v>14177</v>
      </c>
      <c r="C202" s="37">
        <f>SUM(C5+C12+C19+C26+C33+C40+C47+C54+C61+C68+C75+C82+C89+C96+C103+C110+C117+C124+C131+C138+C145+C152+C159+C166+C173+C180+C187+C194)</f>
        <v>14244</v>
      </c>
      <c r="D202" s="17"/>
      <c r="E202" s="37">
        <f t="shared" si="0"/>
        <v>15752</v>
      </c>
      <c r="F202" s="37">
        <f t="shared" si="0"/>
        <v>15771</v>
      </c>
    </row>
    <row r="203" spans="1:6" ht="12.75">
      <c r="A203" s="13" t="s">
        <v>52</v>
      </c>
      <c r="B203" s="37">
        <f>SUM(B6+B13+B20+B27+B34+B41+B48+B55+B62+B69+B76+B83+B90+B97+B104+B111+B118+B125+B132+B139+B146+B153+B160+B167+B174+B181+B188+B195)</f>
        <v>62595922</v>
      </c>
      <c r="C203" s="37">
        <f>SUM(C6+C13+C20+C27+C34+C41+C48+C55+C62+C69+C76+C83+C90+C97+C104+C111+C118+C125+C132+C139+C146+C153+C160+C167+C174+C181+C188+C195)</f>
        <v>56271899</v>
      </c>
      <c r="D203" s="17"/>
      <c r="E203" s="37">
        <f t="shared" si="0"/>
        <v>58370840</v>
      </c>
      <c r="F203" s="37">
        <f t="shared" si="0"/>
        <v>41900857</v>
      </c>
    </row>
    <row r="204" spans="1:6" ht="12.75">
      <c r="A204" s="13" t="s">
        <v>51</v>
      </c>
      <c r="B204" s="37">
        <f>SUM(B7+B14+B21+B28+B35+B42+B49+B56+B63+B70+B77+B84+B91+B98+B105+B112+B119+B126+B133+B140+B147+B154+B161+B168+B175+B182+B189+B196)</f>
        <v>71446488</v>
      </c>
      <c r="C204" s="37">
        <f>SUM(C7+C14+C21+C28+C35+C42+C49+C56+C63+C70+C77+C84+C91+C98+C105+C112+C119+C126+C133+C140+C147+C154+C161+C168+C175+C182+C189+C196)</f>
        <v>49673887</v>
      </c>
      <c r="D204" s="17"/>
      <c r="E204" s="37">
        <f t="shared" si="0"/>
        <v>68527434</v>
      </c>
      <c r="F204" s="37">
        <f t="shared" si="0"/>
        <v>55642189</v>
      </c>
    </row>
    <row r="205" spans="1:6" ht="12.75">
      <c r="A205" s="13" t="s">
        <v>54</v>
      </c>
      <c r="B205" s="14">
        <f>SUM(B201:B204)</f>
        <v>374981831</v>
      </c>
      <c r="C205" s="14">
        <f>SUM(C201:C204)</f>
        <v>291241534</v>
      </c>
      <c r="D205" s="17"/>
      <c r="E205" s="14">
        <f>SUM(E201:E204)</f>
        <v>353513879</v>
      </c>
      <c r="F205" s="14">
        <f>SUM(F201:F204)</f>
        <v>275664006</v>
      </c>
    </row>
    <row r="206" spans="1:6" ht="12.75">
      <c r="A206" s="13" t="s">
        <v>114</v>
      </c>
      <c r="B206" s="3">
        <f>(B205-E205)/B205</f>
        <v>0.05725064583195766</v>
      </c>
      <c r="C206" s="3">
        <f>(C205-F205)/C205</f>
        <v>0.05348662941735501</v>
      </c>
      <c r="D206" s="17"/>
      <c r="E206" s="6"/>
      <c r="F206" s="6"/>
    </row>
    <row r="207" spans="2:6" ht="12.75">
      <c r="B207" s="6"/>
      <c r="C207" s="6"/>
      <c r="D207" s="17"/>
      <c r="E207" s="6"/>
      <c r="F207" s="6"/>
    </row>
    <row r="208" spans="1:6" ht="12.75">
      <c r="A208" s="11" t="s">
        <v>57</v>
      </c>
      <c r="B208" s="50" t="s">
        <v>62</v>
      </c>
      <c r="C208" s="50"/>
      <c r="D208" s="17"/>
      <c r="E208" s="50" t="s">
        <v>62</v>
      </c>
      <c r="F208" s="50"/>
    </row>
    <row r="209" spans="1:6" ht="12.75">
      <c r="A209" s="13" t="s">
        <v>49</v>
      </c>
      <c r="B209" s="51">
        <v>11150212000</v>
      </c>
      <c r="C209" s="52"/>
      <c r="D209" s="17"/>
      <c r="E209" s="51">
        <v>11024043000</v>
      </c>
      <c r="F209" s="52"/>
    </row>
    <row r="210" spans="1:6" ht="12.75">
      <c r="A210" s="13" t="s">
        <v>50</v>
      </c>
      <c r="B210" s="47">
        <v>0</v>
      </c>
      <c r="C210" s="48"/>
      <c r="D210" s="17"/>
      <c r="E210" s="47">
        <v>0</v>
      </c>
      <c r="F210" s="48"/>
    </row>
    <row r="211" spans="1:6" ht="12.75">
      <c r="A211" s="13" t="s">
        <v>52</v>
      </c>
      <c r="B211" s="47">
        <v>1867456000</v>
      </c>
      <c r="C211" s="48"/>
      <c r="D211" s="17"/>
      <c r="E211" s="47">
        <v>1679324000</v>
      </c>
      <c r="F211" s="48"/>
    </row>
    <row r="212" spans="1:6" ht="12.75">
      <c r="A212" s="13" t="s">
        <v>51</v>
      </c>
      <c r="B212" s="47">
        <v>0</v>
      </c>
      <c r="C212" s="48"/>
      <c r="D212" s="17"/>
      <c r="E212" s="47">
        <v>0</v>
      </c>
      <c r="F212" s="48"/>
    </row>
    <row r="213" spans="1:6" ht="12.75">
      <c r="A213" s="13" t="s">
        <v>54</v>
      </c>
      <c r="B213" s="47">
        <f>B209+B211</f>
        <v>13017668000</v>
      </c>
      <c r="C213" s="48"/>
      <c r="D213" s="18"/>
      <c r="E213" s="47">
        <f>E209+E211</f>
        <v>12703367000</v>
      </c>
      <c r="F213" s="48"/>
    </row>
    <row r="214" spans="1:6" ht="12.75">
      <c r="A214" s="13"/>
      <c r="B214" s="20"/>
      <c r="C214" s="21"/>
      <c r="D214" s="18"/>
      <c r="E214" s="20"/>
      <c r="F214" s="21"/>
    </row>
    <row r="215" spans="1:6" ht="12.75">
      <c r="A215" s="13"/>
      <c r="B215" s="20"/>
      <c r="C215" s="21"/>
      <c r="D215" s="18"/>
      <c r="E215" s="20"/>
      <c r="F215" s="21"/>
    </row>
    <row r="216" spans="1:6" ht="12.75">
      <c r="A216" s="23" t="s">
        <v>57</v>
      </c>
      <c r="B216" s="25" t="s">
        <v>64</v>
      </c>
      <c r="C216" s="26" t="s">
        <v>65</v>
      </c>
      <c r="D216" s="16"/>
      <c r="E216" s="25" t="s">
        <v>64</v>
      </c>
      <c r="F216" s="26" t="s">
        <v>65</v>
      </c>
    </row>
    <row r="217" spans="1:6" ht="12.75">
      <c r="A217" s="22" t="s">
        <v>59</v>
      </c>
      <c r="B217" s="6">
        <v>7897222000</v>
      </c>
      <c r="C217" s="3">
        <f>B217/B222</f>
        <v>0.8504841010683145</v>
      </c>
      <c r="D217" s="16"/>
      <c r="E217" s="6">
        <v>8347778000</v>
      </c>
      <c r="F217" s="3">
        <f>E217/E222</f>
        <v>0.8543523799893643</v>
      </c>
    </row>
    <row r="218" spans="1:6" ht="12.75">
      <c r="A218" s="22" t="s">
        <v>60</v>
      </c>
      <c r="B218" s="6">
        <v>90839000</v>
      </c>
      <c r="C218" s="3">
        <f>B218/B222</f>
        <v>0.009782823030294024</v>
      </c>
      <c r="D218" s="16"/>
      <c r="E218" s="6">
        <v>158565000</v>
      </c>
      <c r="F218" s="3">
        <f>E218/E222</f>
        <v>0.01622831670092491</v>
      </c>
    </row>
    <row r="219" spans="1:5" ht="12.75">
      <c r="A219" t="s">
        <v>61</v>
      </c>
      <c r="B219" s="6"/>
      <c r="D219" s="16"/>
      <c r="E219" s="6"/>
    </row>
    <row r="220" spans="1:6" ht="12.75">
      <c r="A220" s="13" t="s">
        <v>33</v>
      </c>
      <c r="B220" s="6">
        <v>1092627000</v>
      </c>
      <c r="C220" s="3">
        <f>B220/B222</f>
        <v>0.11766946552825402</v>
      </c>
      <c r="D220" s="16"/>
      <c r="E220" s="6">
        <v>1082766000</v>
      </c>
      <c r="F220" s="3">
        <f>E220/E222</f>
        <v>0.11081556182634038</v>
      </c>
    </row>
    <row r="221" spans="1:6" ht="12.75">
      <c r="A221" s="13" t="s">
        <v>34</v>
      </c>
      <c r="B221" s="6">
        <v>204873000</v>
      </c>
      <c r="C221" s="3">
        <f>B221/B222</f>
        <v>0.02206361037313739</v>
      </c>
      <c r="D221" s="16"/>
      <c r="E221" s="6">
        <v>181775000</v>
      </c>
      <c r="F221" s="3">
        <f>E221/E222</f>
        <v>0.01860374148337039</v>
      </c>
    </row>
    <row r="222" spans="1:6" ht="12.75">
      <c r="A222" t="s">
        <v>63</v>
      </c>
      <c r="B222" s="24">
        <f>SUM(B217:B221)</f>
        <v>9285561000</v>
      </c>
      <c r="C222" s="3">
        <f>SUM(C217:C221)</f>
        <v>0.9999999999999999</v>
      </c>
      <c r="D222" s="16"/>
      <c r="E222" s="24">
        <f>SUM(E217:E221)</f>
        <v>9770884000</v>
      </c>
      <c r="F222" s="3">
        <f>SUM(F217:F221)</f>
        <v>1</v>
      </c>
    </row>
    <row r="223" ht="12.75">
      <c r="D223" s="16"/>
    </row>
    <row r="224" spans="1:4" ht="12.75">
      <c r="A224" s="11" t="s">
        <v>57</v>
      </c>
      <c r="D224" s="16"/>
    </row>
    <row r="225" spans="1:5" ht="12.75">
      <c r="A225" t="s">
        <v>115</v>
      </c>
      <c r="B225" s="35">
        <v>574651679</v>
      </c>
      <c r="D225" s="16"/>
      <c r="E225" s="35">
        <f>616233000-101540000</f>
        <v>514693000</v>
      </c>
    </row>
    <row r="226" spans="1:5" ht="12.75">
      <c r="A226" t="s">
        <v>116</v>
      </c>
      <c r="B226" s="35">
        <v>95728669</v>
      </c>
      <c r="D226" s="16"/>
      <c r="E226" s="35">
        <v>101540000</v>
      </c>
    </row>
    <row r="227" spans="1:5" ht="12.75">
      <c r="A227" t="s">
        <v>117</v>
      </c>
      <c r="B227" s="36">
        <f>B225/B209</f>
        <v>0.05153728727310297</v>
      </c>
      <c r="D227" s="16"/>
      <c r="E227" s="36">
        <f>E225/E209</f>
        <v>0.04668822500057375</v>
      </c>
    </row>
    <row r="228" spans="1:5" ht="12.75">
      <c r="A228" t="s">
        <v>118</v>
      </c>
      <c r="B228" s="36">
        <f>B226/B211</f>
        <v>0.051261539227698</v>
      </c>
      <c r="D228" s="16"/>
      <c r="E228" s="36">
        <f>E226/E211</f>
        <v>0.060464806076730875</v>
      </c>
    </row>
  </sheetData>
  <mergeCells count="14">
    <mergeCell ref="E209:F209"/>
    <mergeCell ref="E210:F210"/>
    <mergeCell ref="E211:F211"/>
    <mergeCell ref="E212:F212"/>
    <mergeCell ref="B213:C213"/>
    <mergeCell ref="B1:C1"/>
    <mergeCell ref="E1:F1"/>
    <mergeCell ref="B208:C208"/>
    <mergeCell ref="E208:F208"/>
    <mergeCell ref="B209:C209"/>
    <mergeCell ref="B210:C210"/>
    <mergeCell ref="B211:C211"/>
    <mergeCell ref="B212:C212"/>
    <mergeCell ref="E213:F213"/>
  </mergeCells>
  <printOptions gridLines="1" headings="1"/>
  <pageMargins left="0.5" right="0.5" top="1" bottom="1" header="0.3" footer="0.16"/>
  <pageSetup fitToHeight="5" fitToWidth="1" horizontalDpi="600" verticalDpi="600" orientation="portrait" r:id="rId1"/>
  <headerFooter alignWithMargins="0">
    <oddHeader>&amp;C&amp;"Arial,Bold"&amp;16APPENDIX 6:  ACCESS MINUTES,
 2000 VS 1999&amp;RPage &amp;P of &amp;N</oddHeader>
  </headerFooter>
  <rowBreaks count="4" manualBreakCount="4">
    <brk id="99" max="255" man="1"/>
    <brk id="148" max="255" man="1"/>
    <brk id="196" max="255" man="1"/>
    <brk id="1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1">
      <selection activeCell="A32" sqref="A32"/>
    </sheetView>
  </sheetViews>
  <sheetFormatPr defaultColWidth="9.140625" defaultRowHeight="12.75"/>
  <cols>
    <col min="1" max="1" width="64.28125" style="0" customWidth="1"/>
    <col min="2" max="2" width="19.7109375" style="0" customWidth="1"/>
    <col min="3" max="3" width="12.00390625" style="0" customWidth="1"/>
  </cols>
  <sheetData>
    <row r="1" spans="1:3" ht="12.75">
      <c r="A1" s="11" t="s">
        <v>184</v>
      </c>
      <c r="B1" s="26" t="s">
        <v>120</v>
      </c>
      <c r="C1" s="26" t="s">
        <v>121</v>
      </c>
    </row>
    <row r="2" ht="12.75">
      <c r="A2" s="11"/>
    </row>
    <row r="3" spans="1:3" ht="12.75">
      <c r="A3" t="s">
        <v>185</v>
      </c>
      <c r="B3" s="35">
        <v>1066467984</v>
      </c>
      <c r="C3" s="3">
        <f>B3/$B$17</f>
        <v>0.469028288411893</v>
      </c>
    </row>
    <row r="4" spans="1:3" ht="12.75">
      <c r="A4" t="s">
        <v>186</v>
      </c>
      <c r="B4" s="35">
        <v>756082</v>
      </c>
      <c r="C4" s="3">
        <f aca="true" t="shared" si="0" ref="C4:C17">B4/$B$17</f>
        <v>0.0003325217931333988</v>
      </c>
    </row>
    <row r="5" spans="1:3" ht="12.75">
      <c r="A5" t="s">
        <v>187</v>
      </c>
      <c r="B5" s="35">
        <v>37777935</v>
      </c>
      <c r="C5" s="3">
        <f t="shared" si="0"/>
        <v>0.016614582395926614</v>
      </c>
    </row>
    <row r="6" spans="1:3" ht="12.75">
      <c r="A6" t="s">
        <v>188</v>
      </c>
      <c r="B6" s="35">
        <v>16259082</v>
      </c>
      <c r="C6" s="3">
        <f t="shared" si="0"/>
        <v>0.007150678235089538</v>
      </c>
    </row>
    <row r="7" spans="1:3" ht="12.75">
      <c r="A7" t="s">
        <v>189</v>
      </c>
      <c r="B7" s="35">
        <v>359447</v>
      </c>
      <c r="C7" s="3">
        <f t="shared" si="0"/>
        <v>0.00015808333087736622</v>
      </c>
    </row>
    <row r="8" spans="1:3" ht="12.75">
      <c r="A8" t="s">
        <v>190</v>
      </c>
      <c r="B8" s="35">
        <v>347137516</v>
      </c>
      <c r="C8" s="3">
        <f t="shared" si="0"/>
        <v>0.15266966980326727</v>
      </c>
    </row>
    <row r="9" spans="1:3" ht="12.75">
      <c r="A9" t="s">
        <v>191</v>
      </c>
      <c r="B9" s="35">
        <v>457213058</v>
      </c>
      <c r="C9" s="3">
        <f t="shared" si="0"/>
        <v>0.201080446155529</v>
      </c>
    </row>
    <row r="10" spans="1:3" ht="12.75">
      <c r="A10" t="s">
        <v>192</v>
      </c>
      <c r="B10" s="35">
        <v>2027243</v>
      </c>
      <c r="C10" s="3">
        <f t="shared" si="0"/>
        <v>0.0008915732387189892</v>
      </c>
    </row>
    <row r="11" spans="1:3" ht="12.75">
      <c r="A11" t="s">
        <v>193</v>
      </c>
      <c r="B11" s="35">
        <v>20470393</v>
      </c>
      <c r="C11" s="3">
        <f t="shared" si="0"/>
        <v>0.00900279571065754</v>
      </c>
    </row>
    <row r="12" spans="1:3" ht="12.75">
      <c r="A12" t="s">
        <v>194</v>
      </c>
      <c r="B12" s="35">
        <v>263404074</v>
      </c>
      <c r="C12" s="3">
        <f t="shared" si="0"/>
        <v>0.11584404205512427</v>
      </c>
    </row>
    <row r="13" spans="1:3" ht="12.75">
      <c r="A13" t="s">
        <v>204</v>
      </c>
      <c r="B13" s="35">
        <v>29938394</v>
      </c>
      <c r="C13" s="3">
        <f t="shared" si="0"/>
        <v>0.013166784100685095</v>
      </c>
    </row>
    <row r="14" spans="1:3" ht="12.75">
      <c r="A14" t="s">
        <v>195</v>
      </c>
      <c r="B14" s="35">
        <v>12072287</v>
      </c>
      <c r="C14" s="3">
        <f t="shared" si="0"/>
        <v>0.005309342796761488</v>
      </c>
    </row>
    <row r="15" spans="1:3" ht="12.75">
      <c r="A15" t="s">
        <v>196</v>
      </c>
      <c r="B15" s="35">
        <v>19898301</v>
      </c>
      <c r="C15" s="3">
        <f t="shared" si="0"/>
        <v>0.00875119197233647</v>
      </c>
    </row>
    <row r="16" ht="12.75">
      <c r="C16" s="4" t="s">
        <v>31</v>
      </c>
    </row>
    <row r="17" spans="1:3" ht="12.75">
      <c r="A17" s="11" t="s">
        <v>123</v>
      </c>
      <c r="B17" s="38">
        <f>SUM(B3:B15)</f>
        <v>2273781796</v>
      </c>
      <c r="C17" s="3">
        <f t="shared" si="0"/>
        <v>1</v>
      </c>
    </row>
    <row r="18" spans="2:3" ht="12.75">
      <c r="B18" s="39" t="s">
        <v>31</v>
      </c>
      <c r="C18" s="4" t="s">
        <v>31</v>
      </c>
    </row>
    <row r="20" spans="2:3" ht="12.75">
      <c r="B20" s="11" t="s">
        <v>124</v>
      </c>
      <c r="C20" s="26" t="s">
        <v>121</v>
      </c>
    </row>
    <row r="21" spans="1:3" ht="12.75">
      <c r="A21" t="s">
        <v>197</v>
      </c>
      <c r="B21" s="35">
        <v>6478101</v>
      </c>
      <c r="C21" s="3">
        <f>B21/$B$35</f>
        <v>0.01987360236230926</v>
      </c>
    </row>
    <row r="22" spans="1:3" ht="12.75">
      <c r="A22" t="s">
        <v>198</v>
      </c>
      <c r="B22" s="35">
        <v>86512262</v>
      </c>
      <c r="C22" s="3">
        <f aca="true" t="shared" si="1" ref="C22:C35">B22/$B$35</f>
        <v>0.26540344067681526</v>
      </c>
    </row>
    <row r="23" spans="1:3" ht="12.75">
      <c r="A23" t="s">
        <v>199</v>
      </c>
      <c r="B23" s="35">
        <v>12842857</v>
      </c>
      <c r="C23" s="3">
        <f t="shared" si="1"/>
        <v>0.03939948346189725</v>
      </c>
    </row>
    <row r="24" spans="1:3" ht="12.75">
      <c r="A24" t="s">
        <v>200</v>
      </c>
      <c r="B24" s="35">
        <v>77789076</v>
      </c>
      <c r="C24" s="3">
        <f t="shared" si="1"/>
        <v>0.23864233740033608</v>
      </c>
    </row>
    <row r="25" spans="1:3" ht="12.75">
      <c r="A25" t="s">
        <v>187</v>
      </c>
      <c r="B25" s="35">
        <v>10735922</v>
      </c>
      <c r="C25" s="3">
        <f t="shared" si="1"/>
        <v>0.03293580091152761</v>
      </c>
    </row>
    <row r="26" spans="1:3" ht="12.75">
      <c r="A26" t="s">
        <v>201</v>
      </c>
      <c r="B26" s="35">
        <v>6424495</v>
      </c>
      <c r="C26" s="3">
        <f t="shared" si="1"/>
        <v>0.019709149179465407</v>
      </c>
    </row>
    <row r="27" spans="1:3" ht="12.75">
      <c r="A27" t="s">
        <v>189</v>
      </c>
      <c r="B27" s="35">
        <v>5289740</v>
      </c>
      <c r="C27" s="3">
        <f t="shared" si="1"/>
        <v>0.01622793305630798</v>
      </c>
    </row>
    <row r="28" spans="1:3" ht="12.75">
      <c r="A28" t="s">
        <v>202</v>
      </c>
      <c r="B28" s="35">
        <v>63485463</v>
      </c>
      <c r="C28" s="3">
        <f t="shared" si="1"/>
        <v>0.1947615277145412</v>
      </c>
    </row>
    <row r="29" spans="1:3" ht="12.75">
      <c r="A29" t="s">
        <v>203</v>
      </c>
      <c r="B29" s="35">
        <v>32626677</v>
      </c>
      <c r="C29" s="3">
        <f t="shared" si="1"/>
        <v>0.1000925433397073</v>
      </c>
    </row>
    <row r="30" spans="1:3" ht="12.75">
      <c r="A30" t="s">
        <v>193</v>
      </c>
      <c r="B30" s="35">
        <v>203026</v>
      </c>
      <c r="C30" s="3">
        <f t="shared" si="1"/>
        <v>0.0006228457989787748</v>
      </c>
    </row>
    <row r="31" spans="1:3" ht="12.75">
      <c r="A31" t="s">
        <v>194</v>
      </c>
      <c r="B31" s="35">
        <v>19220669</v>
      </c>
      <c r="C31" s="3">
        <f t="shared" si="1"/>
        <v>0.05896541792781007</v>
      </c>
    </row>
    <row r="32" spans="1:3" ht="12.75">
      <c r="A32" t="s">
        <v>204</v>
      </c>
      <c r="B32" s="35">
        <v>3925549</v>
      </c>
      <c r="C32" s="3">
        <f t="shared" si="1"/>
        <v>0.012042850193252738</v>
      </c>
    </row>
    <row r="33" spans="1:3" ht="12.75">
      <c r="A33" t="s">
        <v>195</v>
      </c>
      <c r="B33" s="35">
        <v>431274</v>
      </c>
      <c r="C33" s="3">
        <f t="shared" si="1"/>
        <v>0.0013230679770510777</v>
      </c>
    </row>
    <row r="34" ht="12.75">
      <c r="C34" s="4" t="s">
        <v>31</v>
      </c>
    </row>
    <row r="35" spans="1:3" ht="12.75">
      <c r="A35" s="11" t="s">
        <v>122</v>
      </c>
      <c r="B35" s="38">
        <f>SUM(B21:B33)</f>
        <v>325965111</v>
      </c>
      <c r="C35" s="3">
        <f t="shared" si="1"/>
        <v>1</v>
      </c>
    </row>
  </sheetData>
  <printOptions gridLines="1"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&amp;C&amp;"Arial,Bold"&amp;14APPENDIX 7:  2000 RETAIL AND WHOLESALE REVENUES &amp;RPage 1 of 1</oddHeader>
    <oddFooter>&amp;LSource:  Colorado High Cost Support Mechanism Worksheets Filed with Colorado PUC.  The above figures were not audited by the PUC.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32" sqref="A32"/>
    </sheetView>
  </sheetViews>
  <sheetFormatPr defaultColWidth="9.140625" defaultRowHeight="12.75"/>
  <cols>
    <col min="1" max="1" width="65.140625" style="0" customWidth="1"/>
    <col min="2" max="2" width="18.7109375" style="0" customWidth="1"/>
    <col min="3" max="3" width="10.28125" style="0" customWidth="1"/>
  </cols>
  <sheetData>
    <row r="1" spans="1:3" ht="12.75">
      <c r="A1" s="11" t="s">
        <v>184</v>
      </c>
      <c r="B1" s="26" t="s">
        <v>120</v>
      </c>
      <c r="C1" s="26" t="s">
        <v>121</v>
      </c>
    </row>
    <row r="2" ht="12.75">
      <c r="A2" s="11"/>
    </row>
    <row r="3" spans="1:3" ht="12.75">
      <c r="A3" t="s">
        <v>160</v>
      </c>
      <c r="B3" s="35">
        <v>1066467984</v>
      </c>
      <c r="C3" s="3">
        <f>B3/$B$17</f>
        <v>0.469028288411893</v>
      </c>
    </row>
    <row r="4" spans="1:3" ht="12.75">
      <c r="A4" t="s">
        <v>161</v>
      </c>
      <c r="B4" s="35">
        <v>756082</v>
      </c>
      <c r="C4" s="3">
        <f aca="true" t="shared" si="0" ref="C4:C17">B4/$B$17</f>
        <v>0.0003325217931333988</v>
      </c>
    </row>
    <row r="5" spans="1:3" ht="12.75">
      <c r="A5" t="s">
        <v>162</v>
      </c>
      <c r="B5" s="35">
        <v>37777935</v>
      </c>
      <c r="C5" s="3">
        <f t="shared" si="0"/>
        <v>0.016614582395926614</v>
      </c>
    </row>
    <row r="6" spans="1:3" ht="12.75">
      <c r="A6" t="s">
        <v>163</v>
      </c>
      <c r="B6" s="35">
        <v>16259082</v>
      </c>
      <c r="C6" s="3">
        <f t="shared" si="0"/>
        <v>0.007150678235089538</v>
      </c>
    </row>
    <row r="7" spans="1:3" ht="12.75">
      <c r="A7" t="s">
        <v>164</v>
      </c>
      <c r="B7" s="35">
        <v>359447</v>
      </c>
      <c r="C7" s="3">
        <f t="shared" si="0"/>
        <v>0.00015808333087736622</v>
      </c>
    </row>
    <row r="8" spans="1:3" ht="12.75">
      <c r="A8" t="s">
        <v>165</v>
      </c>
      <c r="B8" s="35">
        <v>347137516</v>
      </c>
      <c r="C8" s="3">
        <f t="shared" si="0"/>
        <v>0.15266966980326727</v>
      </c>
    </row>
    <row r="9" spans="1:3" ht="12.75">
      <c r="A9" t="s">
        <v>166</v>
      </c>
      <c r="B9" s="35">
        <v>457213058</v>
      </c>
      <c r="C9" s="3">
        <f t="shared" si="0"/>
        <v>0.201080446155529</v>
      </c>
    </row>
    <row r="10" spans="1:3" ht="12.75">
      <c r="A10" t="s">
        <v>167</v>
      </c>
      <c r="B10" s="35">
        <v>2027243</v>
      </c>
      <c r="C10" s="3">
        <f t="shared" si="0"/>
        <v>0.0008915732387189892</v>
      </c>
    </row>
    <row r="11" spans="1:3" ht="12.75">
      <c r="A11" t="s">
        <v>168</v>
      </c>
      <c r="B11" s="35">
        <v>20470393</v>
      </c>
      <c r="C11" s="3">
        <f t="shared" si="0"/>
        <v>0.00900279571065754</v>
      </c>
    </row>
    <row r="12" spans="1:3" ht="12.75">
      <c r="A12" t="s">
        <v>169</v>
      </c>
      <c r="B12" s="35">
        <v>263404074</v>
      </c>
      <c r="C12" s="3">
        <f t="shared" si="0"/>
        <v>0.11584404205512427</v>
      </c>
    </row>
    <row r="13" spans="1:3" ht="12.75">
      <c r="A13" t="s">
        <v>205</v>
      </c>
      <c r="B13" s="35">
        <v>29938394</v>
      </c>
      <c r="C13" s="3">
        <f t="shared" si="0"/>
        <v>0.013166784100685095</v>
      </c>
    </row>
    <row r="14" spans="1:3" ht="12.75">
      <c r="A14" t="s">
        <v>170</v>
      </c>
      <c r="B14" s="35">
        <v>12072287</v>
      </c>
      <c r="C14" s="3">
        <f t="shared" si="0"/>
        <v>0.005309342796761488</v>
      </c>
    </row>
    <row r="15" spans="1:3" ht="12.75">
      <c r="A15" t="s">
        <v>171</v>
      </c>
      <c r="B15" s="35">
        <v>19898301</v>
      </c>
      <c r="C15" s="3">
        <f t="shared" si="0"/>
        <v>0.00875119197233647</v>
      </c>
    </row>
    <row r="16" ht="12.75">
      <c r="C16" s="4" t="s">
        <v>31</v>
      </c>
    </row>
    <row r="17" spans="1:3" ht="12.75">
      <c r="A17" s="11" t="s">
        <v>123</v>
      </c>
      <c r="B17" s="38">
        <f>SUM(B3:B15)</f>
        <v>2273781796</v>
      </c>
      <c r="C17" s="3">
        <f t="shared" si="0"/>
        <v>1</v>
      </c>
    </row>
    <row r="18" spans="2:3" ht="12.75">
      <c r="B18" s="39" t="s">
        <v>31</v>
      </c>
      <c r="C18" s="4" t="s">
        <v>31</v>
      </c>
    </row>
    <row r="20" spans="2:3" ht="12.75">
      <c r="B20" s="11" t="s">
        <v>124</v>
      </c>
      <c r="C20" s="26" t="s">
        <v>121</v>
      </c>
    </row>
    <row r="21" spans="1:3" ht="12.75">
      <c r="A21" t="s">
        <v>172</v>
      </c>
      <c r="B21" s="35">
        <v>6478101</v>
      </c>
      <c r="C21" s="3">
        <f>B21/$B$35</f>
        <v>0.01987360236230926</v>
      </c>
    </row>
    <row r="22" spans="1:3" ht="12.75">
      <c r="A22" t="s">
        <v>173</v>
      </c>
      <c r="B22" s="35">
        <v>86512262</v>
      </c>
      <c r="C22" s="3">
        <f aca="true" t="shared" si="1" ref="C22:C35">B22/$B$35</f>
        <v>0.26540344067681526</v>
      </c>
    </row>
    <row r="23" spans="1:3" ht="12.75">
      <c r="A23" t="s">
        <v>174</v>
      </c>
      <c r="B23" s="35">
        <v>12842857</v>
      </c>
      <c r="C23" s="3">
        <f t="shared" si="1"/>
        <v>0.03939948346189725</v>
      </c>
    </row>
    <row r="24" spans="1:3" ht="12.75">
      <c r="A24" t="s">
        <v>175</v>
      </c>
      <c r="B24" s="35">
        <v>77789076</v>
      </c>
      <c r="C24" s="3">
        <f t="shared" si="1"/>
        <v>0.23864233740033608</v>
      </c>
    </row>
    <row r="25" spans="1:3" ht="12.75">
      <c r="A25" t="s">
        <v>176</v>
      </c>
      <c r="B25" s="35">
        <v>10735922</v>
      </c>
      <c r="C25" s="3">
        <f t="shared" si="1"/>
        <v>0.03293580091152761</v>
      </c>
    </row>
    <row r="26" spans="1:3" ht="12.75">
      <c r="A26" t="s">
        <v>177</v>
      </c>
      <c r="B26" s="35">
        <v>6424495</v>
      </c>
      <c r="C26" s="3">
        <f t="shared" si="1"/>
        <v>0.019709149179465407</v>
      </c>
    </row>
    <row r="27" spans="1:3" ht="12.75">
      <c r="A27" t="s">
        <v>178</v>
      </c>
      <c r="B27" s="35">
        <v>5289740</v>
      </c>
      <c r="C27" s="3">
        <f t="shared" si="1"/>
        <v>0.01622793305630798</v>
      </c>
    </row>
    <row r="28" spans="1:3" ht="12.75">
      <c r="A28" t="s">
        <v>179</v>
      </c>
      <c r="B28" s="35">
        <v>63485463</v>
      </c>
      <c r="C28" s="3">
        <f t="shared" si="1"/>
        <v>0.1947615277145412</v>
      </c>
    </row>
    <row r="29" spans="1:3" ht="12.75">
      <c r="A29" t="s">
        <v>180</v>
      </c>
      <c r="B29" s="35">
        <v>32626677</v>
      </c>
      <c r="C29" s="3">
        <f t="shared" si="1"/>
        <v>0.1000925433397073</v>
      </c>
    </row>
    <row r="30" spans="1:3" ht="12.75">
      <c r="A30" t="s">
        <v>181</v>
      </c>
      <c r="B30" s="35">
        <v>203026</v>
      </c>
      <c r="C30" s="3">
        <f t="shared" si="1"/>
        <v>0.0006228457989787748</v>
      </c>
    </row>
    <row r="31" spans="1:3" ht="12.75">
      <c r="A31" t="s">
        <v>182</v>
      </c>
      <c r="B31" s="35">
        <v>19220669</v>
      </c>
      <c r="C31" s="3">
        <f t="shared" si="1"/>
        <v>0.05896541792781007</v>
      </c>
    </row>
    <row r="32" spans="1:3" ht="12.75">
      <c r="A32" t="s">
        <v>206</v>
      </c>
      <c r="B32" s="35">
        <v>3925549</v>
      </c>
      <c r="C32" s="3">
        <f t="shared" si="1"/>
        <v>0.012042850193252738</v>
      </c>
    </row>
    <row r="33" spans="1:3" ht="12.75">
      <c r="A33" t="s">
        <v>183</v>
      </c>
      <c r="B33" s="35">
        <v>431274</v>
      </c>
      <c r="C33" s="3">
        <f t="shared" si="1"/>
        <v>0.0013230679770510777</v>
      </c>
    </row>
    <row r="34" ht="12.75">
      <c r="C34" s="4" t="s">
        <v>31</v>
      </c>
    </row>
    <row r="35" spans="1:3" ht="12.75">
      <c r="A35" s="11" t="s">
        <v>122</v>
      </c>
      <c r="B35" s="38">
        <f>SUM(B21:B33)</f>
        <v>325965111</v>
      </c>
      <c r="C35" s="3">
        <f t="shared" si="1"/>
        <v>1</v>
      </c>
    </row>
  </sheetData>
  <printOptions gridLines="1" headings="1" horizontalCentered="1" verticalCentered="1"/>
  <pageMargins left="0.75" right="0.75" top="1.31" bottom="0.69" header="0.37" footer="0.36"/>
  <pageSetup horizontalDpi="600" verticalDpi="600" orientation="landscape" r:id="rId1"/>
  <headerFooter alignWithMargins="0">
    <oddHeader>&amp;C&amp;"Arial,Bold"&amp;16APPENDIX 7:   2000 RETAIL AND WHOLESALE REVENUES&amp;RPage 1 of 1</oddHeader>
    <oddFooter>&amp;LSource:  Colorado High Cost Support Mechanism Worksheets filed with the PUC.  The above figures were not audited by the PUC.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12.00390625" style="0" customWidth="1"/>
    <col min="4" max="4" width="13.28125" style="0" customWidth="1"/>
    <col min="5" max="5" width="10.8515625" style="0" bestFit="1" customWidth="1"/>
    <col min="6" max="6" width="11.140625" style="0" customWidth="1"/>
    <col min="7" max="7" width="11.7109375" style="0" customWidth="1"/>
    <col min="8" max="8" width="13.140625" style="0" customWidth="1"/>
    <col min="9" max="9" width="9.00390625" style="0" customWidth="1"/>
  </cols>
  <sheetData>
    <row r="1" spans="1:9" ht="12.75">
      <c r="A1" t="s">
        <v>112</v>
      </c>
      <c r="B1" s="2">
        <v>1998</v>
      </c>
      <c r="C1" s="2">
        <v>1999</v>
      </c>
      <c r="D1" s="2">
        <v>2000</v>
      </c>
      <c r="E1" s="2" t="s">
        <v>145</v>
      </c>
      <c r="F1" s="2">
        <v>2000</v>
      </c>
      <c r="G1" s="2">
        <v>2000</v>
      </c>
      <c r="H1" s="2" t="s">
        <v>147</v>
      </c>
      <c r="I1" s="2">
        <v>2000</v>
      </c>
    </row>
    <row r="2" spans="2:9" ht="12.75">
      <c r="B2" s="2" t="s">
        <v>29</v>
      </c>
      <c r="C2" s="2" t="s">
        <v>29</v>
      </c>
      <c r="D2" s="2" t="s">
        <v>29</v>
      </c>
      <c r="E2" s="2" t="s">
        <v>146</v>
      </c>
      <c r="F2" s="2" t="s">
        <v>48</v>
      </c>
      <c r="G2" s="2" t="s">
        <v>47</v>
      </c>
      <c r="H2" s="2" t="s">
        <v>148</v>
      </c>
      <c r="I2" s="2" t="s">
        <v>149</v>
      </c>
    </row>
    <row r="3" ht="12.75">
      <c r="E3" s="2"/>
    </row>
    <row r="4" spans="1:9" ht="12.75">
      <c r="A4" s="43" t="s">
        <v>0</v>
      </c>
      <c r="B4" s="1">
        <v>46831</v>
      </c>
      <c r="C4" s="1">
        <v>34834</v>
      </c>
      <c r="D4" s="1">
        <v>43178</v>
      </c>
      <c r="E4" s="3">
        <f>(D4-B4)/B4</f>
        <v>-0.07800388631462066</v>
      </c>
      <c r="F4" s="6">
        <f>179335+51192</f>
        <v>230527</v>
      </c>
      <c r="G4" s="6">
        <f>145937+43845</f>
        <v>189782</v>
      </c>
      <c r="H4" s="6">
        <f>F4+G4</f>
        <v>420309</v>
      </c>
      <c r="I4" s="42">
        <f>D4/H4</f>
        <v>0.10272918257757983</v>
      </c>
    </row>
    <row r="5" spans="1:9" ht="12.75">
      <c r="A5" s="43" t="s">
        <v>1</v>
      </c>
      <c r="B5" s="1">
        <v>166272</v>
      </c>
      <c r="C5" s="1">
        <v>177581</v>
      </c>
      <c r="D5" s="1">
        <v>183715</v>
      </c>
      <c r="E5" s="3">
        <f aca="true" t="shared" si="0" ref="E5:E33">(D5-B5)/B5</f>
        <v>0.10490641839876828</v>
      </c>
      <c r="F5" s="6">
        <f>1044369+523545</f>
        <v>1567914</v>
      </c>
      <c r="G5" s="6">
        <f>899470+421572</f>
        <v>1321042</v>
      </c>
      <c r="H5" s="6">
        <f>F5+G5</f>
        <v>2888956</v>
      </c>
      <c r="I5" s="42">
        <f aca="true" t="shared" si="1" ref="I5:I31">D5/H5</f>
        <v>0.0635921765509755</v>
      </c>
    </row>
    <row r="6" spans="1:9" ht="12.75">
      <c r="A6" s="43" t="s">
        <v>2</v>
      </c>
      <c r="B6" s="1">
        <v>212970</v>
      </c>
      <c r="C6" s="1">
        <v>295488</v>
      </c>
      <c r="D6" s="1">
        <v>281849</v>
      </c>
      <c r="E6" s="3">
        <f t="shared" si="0"/>
        <v>0.32342113912757664</v>
      </c>
      <c r="F6" s="6" t="s">
        <v>31</v>
      </c>
      <c r="G6" s="6"/>
      <c r="H6" s="6" t="s">
        <v>31</v>
      </c>
      <c r="I6" s="42" t="s">
        <v>31</v>
      </c>
    </row>
    <row r="7" spans="1:9" ht="12.75">
      <c r="A7" s="43" t="s">
        <v>3</v>
      </c>
      <c r="B7" s="1">
        <v>88481</v>
      </c>
      <c r="C7" s="1">
        <v>101193</v>
      </c>
      <c r="D7" s="1">
        <v>105894</v>
      </c>
      <c r="E7" s="3">
        <f t="shared" si="0"/>
        <v>0.19679931284682586</v>
      </c>
      <c r="F7" s="6">
        <f>720593+288547</f>
        <v>1009140</v>
      </c>
      <c r="G7" s="6">
        <f>640840+293218</f>
        <v>934058</v>
      </c>
      <c r="H7" s="6">
        <f aca="true" t="shared" si="2" ref="H7:H31">F7+G7</f>
        <v>1943198</v>
      </c>
      <c r="I7" s="42">
        <f t="shared" si="1"/>
        <v>0.054494704090885235</v>
      </c>
    </row>
    <row r="8" spans="1:9" ht="12.75">
      <c r="A8" s="43" t="s">
        <v>4</v>
      </c>
      <c r="B8" s="1">
        <f>437797-36315</f>
        <v>401482</v>
      </c>
      <c r="C8" s="1">
        <v>366766</v>
      </c>
      <c r="D8" s="1">
        <v>281128</v>
      </c>
      <c r="E8" s="3">
        <f t="shared" si="0"/>
        <v>-0.2997743360848058</v>
      </c>
      <c r="F8" s="6">
        <f>2790227+3048311</f>
        <v>5838538</v>
      </c>
      <c r="G8" s="6">
        <f>1346459+1812362</f>
        <v>3158821</v>
      </c>
      <c r="H8" s="6">
        <f t="shared" si="2"/>
        <v>8997359</v>
      </c>
      <c r="I8" s="42">
        <f t="shared" si="1"/>
        <v>0.031245613296079437</v>
      </c>
    </row>
    <row r="9" spans="1:9" ht="12.75">
      <c r="A9" s="43" t="s">
        <v>5</v>
      </c>
      <c r="B9" s="1">
        <v>8315310</v>
      </c>
      <c r="C9" s="1">
        <v>8565254</v>
      </c>
      <c r="D9" s="1">
        <v>8133154</v>
      </c>
      <c r="E9" s="3">
        <f t="shared" si="0"/>
        <v>-0.02190609850985712</v>
      </c>
      <c r="F9" s="6">
        <f>44006582+42143734</f>
        <v>86150316</v>
      </c>
      <c r="G9" s="6">
        <f>42670582+25046579</f>
        <v>67717161</v>
      </c>
      <c r="H9" s="6">
        <f t="shared" si="2"/>
        <v>153867477</v>
      </c>
      <c r="I9" s="42">
        <f t="shared" si="1"/>
        <v>0.0528581748305394</v>
      </c>
    </row>
    <row r="10" spans="1:9" ht="12.75">
      <c r="A10" s="43" t="s">
        <v>6</v>
      </c>
      <c r="B10" s="1">
        <v>206005</v>
      </c>
      <c r="C10" s="1">
        <v>185354</v>
      </c>
      <c r="D10" s="1">
        <v>210997</v>
      </c>
      <c r="E10" s="3">
        <f t="shared" si="0"/>
        <v>0.02423242154316643</v>
      </c>
      <c r="F10" s="6">
        <f>1135739+623549</f>
        <v>1759288</v>
      </c>
      <c r="G10" s="6">
        <f>1059907+520393</f>
        <v>1580300</v>
      </c>
      <c r="H10" s="6">
        <f t="shared" si="2"/>
        <v>3339588</v>
      </c>
      <c r="I10" s="42">
        <f t="shared" si="1"/>
        <v>0.06318054801969585</v>
      </c>
    </row>
    <row r="11" spans="1:9" ht="12.75">
      <c r="A11" s="43" t="s">
        <v>7</v>
      </c>
      <c r="B11" s="1">
        <v>788357</v>
      </c>
      <c r="C11" s="1">
        <v>962368</v>
      </c>
      <c r="D11" s="1">
        <v>1088543</v>
      </c>
      <c r="E11" s="3">
        <f t="shared" si="0"/>
        <v>0.3807741924026805</v>
      </c>
      <c r="F11" s="6">
        <f>1359412+8044205</f>
        <v>9403617</v>
      </c>
      <c r="G11" s="6">
        <f>877424+7385558</f>
        <v>8262982</v>
      </c>
      <c r="H11" s="6">
        <f t="shared" si="2"/>
        <v>17666599</v>
      </c>
      <c r="I11" s="42">
        <f t="shared" si="1"/>
        <v>0.061615877509870465</v>
      </c>
    </row>
    <row r="12" spans="1:9" ht="12.75">
      <c r="A12" s="43" t="s">
        <v>8</v>
      </c>
      <c r="B12" s="1">
        <v>768165</v>
      </c>
      <c r="C12" s="1">
        <v>839059</v>
      </c>
      <c r="D12" s="1">
        <v>889160</v>
      </c>
      <c r="E12" s="3">
        <f t="shared" si="0"/>
        <v>0.15751173250538622</v>
      </c>
      <c r="F12" s="6">
        <f>3384972+4160018</f>
        <v>7544990</v>
      </c>
      <c r="G12" s="6">
        <f>2803776+3520699</f>
        <v>6324475</v>
      </c>
      <c r="H12" s="6">
        <f t="shared" si="2"/>
        <v>13869465</v>
      </c>
      <c r="I12" s="42">
        <f t="shared" si="1"/>
        <v>0.06410917796757121</v>
      </c>
    </row>
    <row r="13" spans="1:9" ht="12.75">
      <c r="A13" s="43" t="s">
        <v>9</v>
      </c>
      <c r="B13" s="1">
        <v>327354</v>
      </c>
      <c r="C13" s="1">
        <v>389234</v>
      </c>
      <c r="D13" s="1">
        <v>378150</v>
      </c>
      <c r="E13" s="3">
        <f t="shared" si="0"/>
        <v>0.15517146575267143</v>
      </c>
      <c r="F13" s="6">
        <f>2380257+2558472</f>
        <v>4938729</v>
      </c>
      <c r="G13" s="6">
        <f>1757495+2200846</f>
        <v>3958341</v>
      </c>
      <c r="H13" s="6">
        <f t="shared" si="2"/>
        <v>8897070</v>
      </c>
      <c r="I13" s="42">
        <f t="shared" si="1"/>
        <v>0.04250275652546288</v>
      </c>
    </row>
    <row r="14" spans="1:9" ht="12.75">
      <c r="A14" s="43" t="s">
        <v>10</v>
      </c>
      <c r="B14" s="1">
        <v>50497</v>
      </c>
      <c r="C14" s="1">
        <v>51643</v>
      </c>
      <c r="D14" s="1">
        <v>68138</v>
      </c>
      <c r="E14" s="3">
        <f t="shared" si="0"/>
        <v>0.3493474859892667</v>
      </c>
      <c r="F14" s="6">
        <f>57335+335197</f>
        <v>392532</v>
      </c>
      <c r="G14" s="6">
        <f>54762+267327</f>
        <v>322089</v>
      </c>
      <c r="H14" s="6">
        <f t="shared" si="2"/>
        <v>714621</v>
      </c>
      <c r="I14" s="42">
        <f t="shared" si="1"/>
        <v>0.09534844344064895</v>
      </c>
    </row>
    <row r="15" spans="1:9" ht="12.75">
      <c r="A15" s="43" t="s">
        <v>11</v>
      </c>
      <c r="B15" s="1">
        <v>4053</v>
      </c>
      <c r="C15" s="1">
        <v>2280</v>
      </c>
      <c r="D15" s="1">
        <v>2253</v>
      </c>
      <c r="E15" s="3">
        <f t="shared" si="0"/>
        <v>-0.44411547002220575</v>
      </c>
      <c r="F15" s="6">
        <f>19578+74</f>
        <v>19652</v>
      </c>
      <c r="G15" s="6">
        <f>16949+144</f>
        <v>17093</v>
      </c>
      <c r="H15" s="6">
        <f t="shared" si="2"/>
        <v>36745</v>
      </c>
      <c r="I15" s="42">
        <f t="shared" si="1"/>
        <v>0.06131446455300041</v>
      </c>
    </row>
    <row r="16" spans="1:9" ht="12.75">
      <c r="A16" s="43" t="s">
        <v>25</v>
      </c>
      <c r="B16" s="1">
        <v>161408</v>
      </c>
      <c r="C16" s="1">
        <v>153834</v>
      </c>
      <c r="D16" s="1">
        <v>196190</v>
      </c>
      <c r="E16" s="3">
        <f t="shared" si="0"/>
        <v>0.2154911776367962</v>
      </c>
      <c r="F16" s="6">
        <f>1187668+388811</f>
        <v>1576479</v>
      </c>
      <c r="G16" s="6">
        <f>711428+503360</f>
        <v>1214788</v>
      </c>
      <c r="H16" s="6">
        <f t="shared" si="2"/>
        <v>2791267</v>
      </c>
      <c r="I16" s="42">
        <f t="shared" si="1"/>
        <v>0.07028707751712752</v>
      </c>
    </row>
    <row r="17" spans="1:9" ht="12.75">
      <c r="A17" s="43" t="s">
        <v>12</v>
      </c>
      <c r="B17" s="1">
        <v>299605</v>
      </c>
      <c r="C17" s="1">
        <v>287022</v>
      </c>
      <c r="D17" s="1">
        <v>291799</v>
      </c>
      <c r="E17" s="3">
        <f t="shared" si="0"/>
        <v>-0.026054304834699022</v>
      </c>
      <c r="F17" s="6">
        <f>255581+1054152</f>
        <v>1309733</v>
      </c>
      <c r="G17" s="6">
        <f>215962+870613</f>
        <v>1086575</v>
      </c>
      <c r="H17" s="6">
        <f t="shared" si="2"/>
        <v>2396308</v>
      </c>
      <c r="I17" s="42">
        <f t="shared" si="1"/>
        <v>0.12177023988569081</v>
      </c>
    </row>
    <row r="18" spans="1:9" ht="12.75">
      <c r="A18" s="43" t="s">
        <v>13</v>
      </c>
      <c r="B18" s="1">
        <v>75714</v>
      </c>
      <c r="C18" s="1">
        <v>79456</v>
      </c>
      <c r="D18" s="1">
        <v>77094</v>
      </c>
      <c r="E18" s="3">
        <f t="shared" si="0"/>
        <v>0.01822648387352405</v>
      </c>
      <c r="F18" s="6">
        <f>77935+371728</f>
        <v>449663</v>
      </c>
      <c r="G18" s="6">
        <f>80777+297145</f>
        <v>377922</v>
      </c>
      <c r="H18" s="6">
        <f t="shared" si="2"/>
        <v>827585</v>
      </c>
      <c r="I18" s="42">
        <f t="shared" si="1"/>
        <v>0.09315538585160436</v>
      </c>
    </row>
    <row r="19" spans="1:9" ht="12.75">
      <c r="A19" s="43" t="s">
        <v>14</v>
      </c>
      <c r="B19" s="1">
        <v>32909</v>
      </c>
      <c r="C19" s="1">
        <v>30075</v>
      </c>
      <c r="D19" s="1">
        <v>29001</v>
      </c>
      <c r="E19" s="3">
        <f t="shared" si="0"/>
        <v>-0.11875170925886536</v>
      </c>
      <c r="F19" s="6">
        <f>147801+104328</f>
        <v>252129</v>
      </c>
      <c r="G19" s="6">
        <f>79266+96903</f>
        <v>176169</v>
      </c>
      <c r="H19" s="6">
        <f t="shared" si="2"/>
        <v>428298</v>
      </c>
      <c r="I19" s="42">
        <f t="shared" si="1"/>
        <v>0.06771220038384489</v>
      </c>
    </row>
    <row r="20" spans="1:9" ht="12.75">
      <c r="A20" s="43" t="s">
        <v>15</v>
      </c>
      <c r="B20" s="1">
        <v>211975</v>
      </c>
      <c r="C20" s="1">
        <v>225478</v>
      </c>
      <c r="D20" s="1">
        <v>237132</v>
      </c>
      <c r="E20" s="3">
        <f t="shared" si="0"/>
        <v>0.11867908951527303</v>
      </c>
      <c r="F20" s="6">
        <f>350164+1636148</f>
        <v>1986312</v>
      </c>
      <c r="G20" s="6">
        <f>265908+1071772</f>
        <v>1337680</v>
      </c>
      <c r="H20" s="6">
        <f t="shared" si="2"/>
        <v>3323992</v>
      </c>
      <c r="I20" s="42">
        <f t="shared" si="1"/>
        <v>0.0713395218761056</v>
      </c>
    </row>
    <row r="21" spans="1:9" ht="12.75">
      <c r="A21" s="43" t="s">
        <v>16</v>
      </c>
      <c r="B21" s="1">
        <v>89890</v>
      </c>
      <c r="C21" s="1">
        <v>87541</v>
      </c>
      <c r="D21" s="1">
        <v>92816</v>
      </c>
      <c r="E21" s="3">
        <f t="shared" si="0"/>
        <v>0.032550895538992104</v>
      </c>
      <c r="F21" s="6">
        <f>605875+162639</f>
        <v>768514</v>
      </c>
      <c r="G21" s="6">
        <f>399159+190067</f>
        <v>589226</v>
      </c>
      <c r="H21" s="6">
        <f t="shared" si="2"/>
        <v>1357740</v>
      </c>
      <c r="I21" s="42">
        <f t="shared" si="1"/>
        <v>0.06836065815251816</v>
      </c>
    </row>
    <row r="22" spans="1:9" ht="12.75">
      <c r="A22" s="43" t="s">
        <v>17</v>
      </c>
      <c r="B22" s="1">
        <v>301117</v>
      </c>
      <c r="C22" s="1">
        <v>291891</v>
      </c>
      <c r="D22" s="1">
        <v>303858</v>
      </c>
      <c r="E22" s="3">
        <f t="shared" si="0"/>
        <v>0.009102774004788837</v>
      </c>
      <c r="F22" s="6">
        <f>1063622+929449</f>
        <v>1993071</v>
      </c>
      <c r="G22" s="6">
        <f>839227+863117</f>
        <v>1702344</v>
      </c>
      <c r="H22" s="6">
        <f t="shared" si="2"/>
        <v>3695415</v>
      </c>
      <c r="I22" s="42">
        <f t="shared" si="1"/>
        <v>0.08222567695373861</v>
      </c>
    </row>
    <row r="23" spans="1:9" ht="12.75">
      <c r="A23" s="43" t="s">
        <v>26</v>
      </c>
      <c r="B23" s="1">
        <v>53022</v>
      </c>
      <c r="C23" s="1">
        <v>59876</v>
      </c>
      <c r="D23" s="1">
        <v>129828</v>
      </c>
      <c r="E23" s="3">
        <f t="shared" si="0"/>
        <v>1.4485685187280752</v>
      </c>
      <c r="F23" s="6"/>
      <c r="G23" s="6"/>
      <c r="H23" s="6">
        <f t="shared" si="2"/>
        <v>0</v>
      </c>
      <c r="I23" s="42" t="s">
        <v>31</v>
      </c>
    </row>
    <row r="24" spans="1:9" ht="12.75">
      <c r="A24" s="43" t="s">
        <v>18</v>
      </c>
      <c r="B24" s="1">
        <v>54199</v>
      </c>
      <c r="C24" s="1">
        <v>55644</v>
      </c>
      <c r="D24" s="1">
        <v>67504</v>
      </c>
      <c r="E24" s="3">
        <f t="shared" si="0"/>
        <v>0.24548423402645805</v>
      </c>
      <c r="F24" s="6">
        <f>77320+297640</f>
        <v>374960</v>
      </c>
      <c r="G24" s="6">
        <f>155189+272341</f>
        <v>427530</v>
      </c>
      <c r="H24" s="6">
        <f t="shared" si="2"/>
        <v>802490</v>
      </c>
      <c r="I24" s="42">
        <f t="shared" si="1"/>
        <v>0.08411818215803313</v>
      </c>
    </row>
    <row r="25" spans="1:9" ht="12.75">
      <c r="A25" s="43" t="s">
        <v>27</v>
      </c>
      <c r="B25" s="1">
        <v>294430</v>
      </c>
      <c r="C25" s="1">
        <v>387240</v>
      </c>
      <c r="D25" s="1">
        <v>174220</v>
      </c>
      <c r="E25" s="3">
        <f t="shared" si="0"/>
        <v>-0.40828040620860645</v>
      </c>
      <c r="F25" s="6">
        <f>616287+945458</f>
        <v>1561745</v>
      </c>
      <c r="G25" s="6">
        <f>376653+653122</f>
        <v>1029775</v>
      </c>
      <c r="H25" s="6">
        <f t="shared" si="2"/>
        <v>2591520</v>
      </c>
      <c r="I25" s="42">
        <f t="shared" si="1"/>
        <v>0.0672269556090634</v>
      </c>
    </row>
    <row r="26" spans="1:9" ht="12.75">
      <c r="A26" s="43" t="s">
        <v>19</v>
      </c>
      <c r="B26" s="1">
        <v>3411</v>
      </c>
      <c r="C26" s="1">
        <v>9775</v>
      </c>
      <c r="D26" s="1">
        <v>14340</v>
      </c>
      <c r="E26" s="3">
        <f t="shared" si="0"/>
        <v>3.2040457343887425</v>
      </c>
      <c r="F26" s="6">
        <f>65592+48672</f>
        <v>114264</v>
      </c>
      <c r="G26" s="6">
        <f>38531+45369</f>
        <v>83900</v>
      </c>
      <c r="H26" s="6">
        <f t="shared" si="2"/>
        <v>198164</v>
      </c>
      <c r="I26" s="42">
        <f t="shared" si="1"/>
        <v>0.07236430431359883</v>
      </c>
    </row>
    <row r="27" spans="1:9" ht="12.75">
      <c r="A27" s="43" t="s">
        <v>20</v>
      </c>
      <c r="B27" s="1">
        <v>55859</v>
      </c>
      <c r="C27" s="1">
        <v>37190</v>
      </c>
      <c r="D27" s="1">
        <v>11213</v>
      </c>
      <c r="E27" s="3">
        <f t="shared" si="0"/>
        <v>-0.7992624286149054</v>
      </c>
      <c r="F27" s="6">
        <f>28554+56312</f>
        <v>84866</v>
      </c>
      <c r="G27" s="6">
        <f>28698+42298</f>
        <v>70996</v>
      </c>
      <c r="H27" s="6">
        <f t="shared" si="2"/>
        <v>155862</v>
      </c>
      <c r="I27" s="42">
        <f t="shared" si="1"/>
        <v>0.07194184599196725</v>
      </c>
    </row>
    <row r="28" spans="1:9" ht="12.75">
      <c r="A28" s="43" t="s">
        <v>21</v>
      </c>
      <c r="B28" s="1">
        <v>197524</v>
      </c>
      <c r="C28" s="1">
        <v>247610</v>
      </c>
      <c r="D28" s="1">
        <v>279156</v>
      </c>
      <c r="E28" s="3">
        <f t="shared" si="0"/>
        <v>0.41327636135355705</v>
      </c>
      <c r="F28" s="6">
        <f>385190+1751224</f>
        <v>2136414</v>
      </c>
      <c r="G28" s="6">
        <f>233764+1538876</f>
        <v>1772640</v>
      </c>
      <c r="H28" s="6">
        <f t="shared" si="2"/>
        <v>3909054</v>
      </c>
      <c r="I28" s="42">
        <f t="shared" si="1"/>
        <v>0.07141267426850588</v>
      </c>
    </row>
    <row r="29" spans="1:9" ht="12.75">
      <c r="A29" s="43" t="s">
        <v>22</v>
      </c>
      <c r="B29" s="1">
        <v>53968</v>
      </c>
      <c r="C29" s="1">
        <v>65149</v>
      </c>
      <c r="D29" s="1">
        <v>71268</v>
      </c>
      <c r="E29" s="3">
        <f t="shared" si="0"/>
        <v>0.3205603320486214</v>
      </c>
      <c r="F29" s="6">
        <f>157979+226656</f>
        <v>384635</v>
      </c>
      <c r="G29" s="6">
        <f>148292+96157</f>
        <v>244449</v>
      </c>
      <c r="H29" s="6">
        <f t="shared" si="2"/>
        <v>629084</v>
      </c>
      <c r="I29" s="42">
        <f t="shared" si="1"/>
        <v>0.11328852744625519</v>
      </c>
    </row>
    <row r="30" spans="1:9" ht="12.75">
      <c r="A30" s="43" t="s">
        <v>23</v>
      </c>
      <c r="B30" s="1">
        <v>286837</v>
      </c>
      <c r="C30" s="1">
        <v>395548</v>
      </c>
      <c r="D30" s="1">
        <v>220618</v>
      </c>
      <c r="E30" s="3">
        <f t="shared" si="0"/>
        <v>-0.23085933823042354</v>
      </c>
      <c r="F30" s="6">
        <f>479472+1634596</f>
        <v>2114068</v>
      </c>
      <c r="G30" s="6">
        <f>401446+1558543</f>
        <v>1959989</v>
      </c>
      <c r="H30" s="6">
        <f t="shared" si="2"/>
        <v>4074057</v>
      </c>
      <c r="I30" s="42">
        <f t="shared" si="1"/>
        <v>0.054151917854855736</v>
      </c>
    </row>
    <row r="31" spans="1:9" ht="12.75">
      <c r="A31" s="43" t="s">
        <v>24</v>
      </c>
      <c r="B31" s="1">
        <v>12223</v>
      </c>
      <c r="C31" s="1">
        <v>27851</v>
      </c>
      <c r="D31" s="1">
        <v>22343</v>
      </c>
      <c r="E31" s="3">
        <f t="shared" si="0"/>
        <v>0.8279473124437535</v>
      </c>
      <c r="F31" s="6">
        <f>18483+61831</f>
        <v>80314</v>
      </c>
      <c r="G31" s="6">
        <f>23998+61661</f>
        <v>85659</v>
      </c>
      <c r="H31" s="6">
        <f t="shared" si="2"/>
        <v>165973</v>
      </c>
      <c r="I31" s="42">
        <f t="shared" si="1"/>
        <v>0.1346182812867153</v>
      </c>
    </row>
    <row r="32" spans="1:4" ht="12.75">
      <c r="A32" s="43"/>
      <c r="B32" s="1"/>
      <c r="C32" s="1"/>
      <c r="D32" s="1"/>
    </row>
    <row r="33" spans="1:5" ht="12.75">
      <c r="A33" s="11" t="s">
        <v>159</v>
      </c>
      <c r="B33" s="1">
        <f>SUM(B4:B32)</f>
        <v>13559868</v>
      </c>
      <c r="C33" s="1">
        <f>SUM(C4:C32)</f>
        <v>14412234</v>
      </c>
      <c r="D33" s="1">
        <f>SUM(D4:D32)</f>
        <v>13884539</v>
      </c>
      <c r="E33" s="3">
        <f t="shared" si="0"/>
        <v>0.023943522164080064</v>
      </c>
    </row>
    <row r="34" spans="1:3" ht="12.75">
      <c r="A34" s="43"/>
      <c r="B34" s="1"/>
      <c r="C34" s="1"/>
    </row>
    <row r="35" spans="1:3" ht="12.75">
      <c r="A35" s="43"/>
      <c r="B35" s="1"/>
      <c r="C35" s="1"/>
    </row>
    <row r="36" spans="1:4" ht="12.75">
      <c r="A36" s="43"/>
      <c r="B36" s="1"/>
      <c r="C36" s="1"/>
      <c r="D36" t="s">
        <v>31</v>
      </c>
    </row>
    <row r="37" spans="1:3" ht="12.75">
      <c r="A37" s="43"/>
      <c r="B37" s="1"/>
      <c r="C37" s="1"/>
    </row>
    <row r="38" spans="1:3" ht="12.75">
      <c r="A38" s="43"/>
      <c r="B38" s="1"/>
      <c r="C38" s="1"/>
    </row>
    <row r="39" spans="1:4" ht="12.75">
      <c r="A39" s="43" t="s">
        <v>31</v>
      </c>
      <c r="B39" s="1"/>
      <c r="C39" s="1"/>
      <c r="D39" s="1" t="s">
        <v>31</v>
      </c>
    </row>
  </sheetData>
  <printOptions gridLines="1" headings="1"/>
  <pageMargins left="0.7" right="0.67" top="0.71" bottom="0.48" header="0.18" footer="0.29"/>
  <pageSetup horizontalDpi="600" verticalDpi="600" orientation="landscape" r:id="rId1"/>
  <headerFooter alignWithMargins="0">
    <oddHeader>&amp;C&amp;"Arial,Bold"&amp;16APPENDIX 10:  INTRASTATE ACCESS REVENUES PER MOU&amp;RPage 1 of 1</oddHeader>
    <oddFooter>&amp;LSource:  Annual Reports filed with Colorado PUC for 1998, 1999, and 2000.  The above numbers were not audited by the PUC.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12.140625" style="0" bestFit="1" customWidth="1"/>
    <col min="4" max="4" width="8.421875" style="0" customWidth="1"/>
    <col min="5" max="5" width="12.7109375" style="0" bestFit="1" customWidth="1"/>
    <col min="6" max="6" width="8.7109375" style="0" customWidth="1"/>
    <col min="7" max="7" width="12.7109375" style="0" customWidth="1"/>
    <col min="8" max="8" width="9.28125" style="0" customWidth="1"/>
    <col min="9" max="9" width="12.7109375" style="0" customWidth="1"/>
    <col min="10" max="10" width="8.421875" style="0" customWidth="1"/>
    <col min="11" max="11" width="12.7109375" style="0" customWidth="1"/>
    <col min="12" max="12" width="8.28125" style="0" customWidth="1"/>
    <col min="13" max="13" width="12.8515625" style="0" bestFit="1" customWidth="1"/>
    <col min="14" max="14" width="8.8515625" style="0" customWidth="1"/>
  </cols>
  <sheetData>
    <row r="1" spans="2:14" ht="12.75">
      <c r="B1" s="2">
        <v>2000</v>
      </c>
      <c r="C1" s="2">
        <v>2000</v>
      </c>
      <c r="D1" s="2"/>
      <c r="E1" s="2">
        <v>2000</v>
      </c>
      <c r="F1" s="2"/>
      <c r="G1" s="2" t="s">
        <v>34</v>
      </c>
      <c r="H1" s="2"/>
      <c r="I1" s="2" t="s">
        <v>33</v>
      </c>
      <c r="J1" s="2"/>
      <c r="K1" s="2">
        <v>2000</v>
      </c>
      <c r="L1" s="2"/>
      <c r="M1" s="2">
        <v>2000</v>
      </c>
      <c r="N1" s="2"/>
    </row>
    <row r="2" spans="1:14" ht="12.75">
      <c r="A2" t="s">
        <v>112</v>
      </c>
      <c r="B2" s="2" t="s">
        <v>140</v>
      </c>
      <c r="C2" s="2" t="s">
        <v>70</v>
      </c>
      <c r="D2" s="2"/>
      <c r="E2" s="2" t="s">
        <v>71</v>
      </c>
      <c r="F2" s="2"/>
      <c r="G2" s="2" t="s">
        <v>32</v>
      </c>
      <c r="H2" s="2"/>
      <c r="I2" s="2" t="s">
        <v>32</v>
      </c>
      <c r="J2" s="2"/>
      <c r="K2" s="2" t="s">
        <v>137</v>
      </c>
      <c r="L2" s="2"/>
      <c r="M2" s="2" t="s">
        <v>107</v>
      </c>
      <c r="N2" s="2"/>
    </row>
    <row r="3" spans="2:14" ht="12.75">
      <c r="B3" s="2" t="s">
        <v>139</v>
      </c>
      <c r="C3" s="2" t="s">
        <v>36</v>
      </c>
      <c r="D3" s="2"/>
      <c r="E3" s="2" t="s">
        <v>72</v>
      </c>
      <c r="F3" s="2"/>
      <c r="G3" s="2" t="s">
        <v>36</v>
      </c>
      <c r="H3" s="2"/>
      <c r="I3" s="2" t="s">
        <v>36</v>
      </c>
      <c r="J3" s="2"/>
      <c r="K3" s="2" t="s">
        <v>36</v>
      </c>
      <c r="L3" s="2"/>
      <c r="M3" s="2" t="s">
        <v>36</v>
      </c>
      <c r="N3" s="2"/>
    </row>
    <row r="4" spans="2:14" ht="12.75">
      <c r="B4" s="2" t="s">
        <v>31</v>
      </c>
      <c r="C4" s="2" t="s">
        <v>73</v>
      </c>
      <c r="D4" s="2"/>
      <c r="E4" s="2" t="s">
        <v>74</v>
      </c>
      <c r="F4" s="2"/>
      <c r="G4" s="2" t="s">
        <v>67</v>
      </c>
      <c r="H4" s="2"/>
      <c r="I4" s="2" t="s">
        <v>67</v>
      </c>
      <c r="J4" s="2"/>
      <c r="K4" s="2" t="s">
        <v>138</v>
      </c>
      <c r="L4" s="2"/>
      <c r="M4" s="2" t="s">
        <v>111</v>
      </c>
      <c r="N4" s="2"/>
    </row>
    <row r="5" spans="3:14" ht="12.75">
      <c r="C5" s="2" t="s">
        <v>31</v>
      </c>
      <c r="D5" s="2"/>
      <c r="E5" s="2"/>
      <c r="F5" s="2"/>
      <c r="M5" s="2"/>
      <c r="N5" s="2"/>
    </row>
    <row r="6" spans="1:14" ht="12.75">
      <c r="A6" t="s">
        <v>0</v>
      </c>
      <c r="B6" s="1">
        <v>199136</v>
      </c>
      <c r="C6" s="1">
        <v>9196</v>
      </c>
      <c r="D6" s="3">
        <f>C6/B6</f>
        <v>0.04617949542021533</v>
      </c>
      <c r="E6" s="1">
        <v>34378</v>
      </c>
      <c r="F6" s="3">
        <f>E6/B6</f>
        <v>0.1726357865981038</v>
      </c>
      <c r="G6" s="1">
        <v>43178</v>
      </c>
      <c r="H6" s="3">
        <f>G6/B6</f>
        <v>0.21682669130644383</v>
      </c>
      <c r="I6" s="1">
        <v>91387</v>
      </c>
      <c r="J6" s="3">
        <f>I6/B6</f>
        <v>0.45891752370239436</v>
      </c>
      <c r="K6" s="1">
        <v>0</v>
      </c>
      <c r="L6" s="3">
        <f>K6/B6</f>
        <v>0</v>
      </c>
      <c r="M6" s="1">
        <f>11034+10001</f>
        <v>21035</v>
      </c>
      <c r="N6" s="3">
        <f>M6/B6</f>
        <v>0.10563132733408324</v>
      </c>
    </row>
    <row r="7" spans="1:14" ht="12.75">
      <c r="A7" t="s">
        <v>1</v>
      </c>
      <c r="B7" s="1">
        <f>1063061-36098</f>
        <v>1026963</v>
      </c>
      <c r="C7" s="1">
        <v>212919</v>
      </c>
      <c r="D7" s="3">
        <f aca="true" t="shared" si="0" ref="D7:D35">C7/B7</f>
        <v>0.20732879373453572</v>
      </c>
      <c r="E7" s="1">
        <v>284938</v>
      </c>
      <c r="F7" s="3">
        <f aca="true" t="shared" si="1" ref="F7:F38">E7/B7</f>
        <v>0.2774569288280104</v>
      </c>
      <c r="G7" s="1">
        <v>183715</v>
      </c>
      <c r="H7" s="3">
        <f aca="true" t="shared" si="2" ref="H7:H38">G7/B7</f>
        <v>0.1788915472125091</v>
      </c>
      <c r="I7" s="1">
        <v>289934</v>
      </c>
      <c r="J7" s="3">
        <f aca="true" t="shared" si="3" ref="J7:J38">I7/B7</f>
        <v>0.28232175842751883</v>
      </c>
      <c r="K7" s="1">
        <v>3450</v>
      </c>
      <c r="L7" s="3">
        <f>K7/B7</f>
        <v>0.0033594199596285357</v>
      </c>
      <c r="M7" s="1">
        <f>49491+2675</f>
        <v>52166</v>
      </c>
      <c r="N7" s="3">
        <f aca="true" t="shared" si="4" ref="N7:N38">M7/B7</f>
        <v>0.05079637727941513</v>
      </c>
    </row>
    <row r="8" spans="1:14" ht="12.75">
      <c r="A8" t="s">
        <v>2</v>
      </c>
      <c r="B8" s="1">
        <f>1414881-53488</f>
        <v>1361393</v>
      </c>
      <c r="C8" s="1">
        <v>282976</v>
      </c>
      <c r="D8" s="3">
        <f t="shared" si="0"/>
        <v>0.20785768694271237</v>
      </c>
      <c r="E8" s="1">
        <v>103373</v>
      </c>
      <c r="F8" s="3">
        <f t="shared" si="1"/>
        <v>0.075931784576533</v>
      </c>
      <c r="G8" s="1">
        <v>281849</v>
      </c>
      <c r="H8" s="3">
        <f t="shared" si="2"/>
        <v>0.20702985838769555</v>
      </c>
      <c r="I8" s="1">
        <v>611239</v>
      </c>
      <c r="J8" s="3">
        <f t="shared" si="3"/>
        <v>0.4489805662288553</v>
      </c>
      <c r="K8" s="1">
        <v>0</v>
      </c>
      <c r="L8" s="3">
        <f aca="true" t="shared" si="5" ref="L8:L38">K8/B8</f>
        <v>0</v>
      </c>
      <c r="M8" s="1">
        <f>104601+12434</f>
        <v>117035</v>
      </c>
      <c r="N8" s="3">
        <f t="shared" si="4"/>
        <v>0.08596709399857352</v>
      </c>
    </row>
    <row r="9" spans="1:14" ht="12.75">
      <c r="A9" t="s">
        <v>3</v>
      </c>
      <c r="B9" s="1">
        <f>1993575-505039</f>
        <v>1488536</v>
      </c>
      <c r="C9" s="1">
        <v>301484</v>
      </c>
      <c r="D9" s="3">
        <f t="shared" si="0"/>
        <v>0.20253725808445344</v>
      </c>
      <c r="E9" s="1">
        <v>328658</v>
      </c>
      <c r="F9" s="3">
        <f t="shared" si="1"/>
        <v>0.22079277894521865</v>
      </c>
      <c r="G9" s="1">
        <v>105894</v>
      </c>
      <c r="H9" s="3">
        <f t="shared" si="2"/>
        <v>0.07113969699086888</v>
      </c>
      <c r="I9" s="1">
        <v>183382</v>
      </c>
      <c r="J9" s="3">
        <f t="shared" si="3"/>
        <v>0.12319621426690386</v>
      </c>
      <c r="K9" s="1">
        <f>1062+449469</f>
        <v>450531</v>
      </c>
      <c r="L9" s="3">
        <f t="shared" si="5"/>
        <v>0.3026671844013178</v>
      </c>
      <c r="M9" s="1">
        <f>120601+11134</f>
        <v>131735</v>
      </c>
      <c r="N9" s="3">
        <f t="shared" si="4"/>
        <v>0.08849970709475619</v>
      </c>
    </row>
    <row r="10" spans="1:14" ht="12.75">
      <c r="A10" t="s">
        <v>4</v>
      </c>
      <c r="B10" s="1">
        <v>7371742</v>
      </c>
      <c r="C10" s="1">
        <f>1743385</f>
        <v>1743385</v>
      </c>
      <c r="D10" s="3">
        <f t="shared" si="0"/>
        <v>0.2364956614054046</v>
      </c>
      <c r="E10" s="1">
        <v>353543</v>
      </c>
      <c r="F10" s="3">
        <f t="shared" si="1"/>
        <v>0.04795922049360925</v>
      </c>
      <c r="G10" s="1">
        <v>281128</v>
      </c>
      <c r="H10" s="3">
        <f t="shared" si="2"/>
        <v>0.0381358978651179</v>
      </c>
      <c r="I10" s="1">
        <v>4664446</v>
      </c>
      <c r="J10" s="3">
        <f t="shared" si="3"/>
        <v>0.632746778169936</v>
      </c>
      <c r="K10" s="1">
        <v>1071</v>
      </c>
      <c r="L10" s="3">
        <f t="shared" si="5"/>
        <v>0.0001452845202667158</v>
      </c>
      <c r="M10" s="1">
        <f>352649+63835</f>
        <v>416484</v>
      </c>
      <c r="N10" s="3">
        <f t="shared" si="4"/>
        <v>0.05649736520892891</v>
      </c>
    </row>
    <row r="11" spans="1:14" ht="12.75">
      <c r="A11" s="11" t="s">
        <v>5</v>
      </c>
      <c r="B11" s="1">
        <v>79850714</v>
      </c>
      <c r="C11" s="1">
        <f>19129068</f>
        <v>19129068</v>
      </c>
      <c r="D11" s="3">
        <f t="shared" si="0"/>
        <v>0.2395603876503847</v>
      </c>
      <c r="E11" s="1">
        <v>5408176</v>
      </c>
      <c r="F11" s="3">
        <f t="shared" si="1"/>
        <v>0.06772858662228118</v>
      </c>
      <c r="G11" s="1">
        <v>8133154</v>
      </c>
      <c r="H11" s="3">
        <f t="shared" si="2"/>
        <v>0.10185449312325498</v>
      </c>
      <c r="I11" s="1">
        <v>45181440</v>
      </c>
      <c r="J11" s="3">
        <f t="shared" si="3"/>
        <v>0.5658238697777956</v>
      </c>
      <c r="K11" s="1">
        <v>32413</v>
      </c>
      <c r="L11" s="3">
        <f t="shared" si="5"/>
        <v>0.00040591997712130664</v>
      </c>
      <c r="M11" s="1">
        <f>2137522+561526</f>
        <v>2699048</v>
      </c>
      <c r="N11" s="3">
        <f t="shared" si="4"/>
        <v>0.03380117552862458</v>
      </c>
    </row>
    <row r="12" spans="1:14" ht="12.75">
      <c r="A12" t="s">
        <v>6</v>
      </c>
      <c r="B12" s="1">
        <f>1852450-541</f>
        <v>1851909</v>
      </c>
      <c r="C12" s="1">
        <v>348491</v>
      </c>
      <c r="D12" s="3">
        <f t="shared" si="0"/>
        <v>0.18817933278579024</v>
      </c>
      <c r="E12" s="1">
        <v>650731</v>
      </c>
      <c r="F12" s="3">
        <f t="shared" si="1"/>
        <v>0.3513838962929604</v>
      </c>
      <c r="G12" s="1">
        <v>210997</v>
      </c>
      <c r="H12" s="3">
        <f t="shared" si="2"/>
        <v>0.11393486397009789</v>
      </c>
      <c r="I12" s="1">
        <v>581945</v>
      </c>
      <c r="J12" s="3">
        <f t="shared" si="3"/>
        <v>0.3142406025350058</v>
      </c>
      <c r="K12" s="1">
        <v>290</v>
      </c>
      <c r="L12" s="3">
        <f t="shared" si="5"/>
        <v>0.00015659516747313179</v>
      </c>
      <c r="M12" s="1">
        <f>48055+11796</f>
        <v>59851</v>
      </c>
      <c r="N12" s="3">
        <f t="shared" si="4"/>
        <v>0.03231854264977383</v>
      </c>
    </row>
    <row r="13" spans="1:14" ht="12.75">
      <c r="A13" s="11" t="s">
        <v>7</v>
      </c>
      <c r="B13" s="1">
        <v>7113942</v>
      </c>
      <c r="C13" s="1">
        <v>1842029</v>
      </c>
      <c r="D13" s="3">
        <f t="shared" si="0"/>
        <v>0.25893224881507326</v>
      </c>
      <c r="E13" s="1">
        <v>490425</v>
      </c>
      <c r="F13" s="3">
        <f t="shared" si="1"/>
        <v>0.06893857161050793</v>
      </c>
      <c r="G13" s="1">
        <v>1088543</v>
      </c>
      <c r="H13" s="3">
        <f t="shared" si="2"/>
        <v>0.15301544488273872</v>
      </c>
      <c r="I13" s="1">
        <v>3221852</v>
      </c>
      <c r="J13" s="3">
        <f t="shared" si="3"/>
        <v>0.45289264376909455</v>
      </c>
      <c r="K13" s="1">
        <v>0</v>
      </c>
      <c r="L13" s="3">
        <f t="shared" si="5"/>
        <v>0</v>
      </c>
      <c r="M13" s="1">
        <f>403969+87388</f>
        <v>491357</v>
      </c>
      <c r="N13" s="3">
        <f t="shared" si="4"/>
        <v>0.06906958195610816</v>
      </c>
    </row>
    <row r="14" spans="1:14" ht="12.75">
      <c r="A14" t="s">
        <v>8</v>
      </c>
      <c r="B14" s="1">
        <f>4435662-55334</f>
        <v>4380328</v>
      </c>
      <c r="C14" s="1">
        <v>940721</v>
      </c>
      <c r="D14" s="3">
        <f t="shared" si="0"/>
        <v>0.2147604015041796</v>
      </c>
      <c r="E14" s="1">
        <v>383436</v>
      </c>
      <c r="F14" s="3">
        <f t="shared" si="1"/>
        <v>0.08753591055281705</v>
      </c>
      <c r="G14" s="1">
        <v>889160</v>
      </c>
      <c r="H14" s="3">
        <f t="shared" si="2"/>
        <v>0.20298936517995914</v>
      </c>
      <c r="I14" s="1">
        <v>1681993</v>
      </c>
      <c r="J14" s="3">
        <f t="shared" si="3"/>
        <v>0.38398791140754757</v>
      </c>
      <c r="K14" s="1">
        <v>238</v>
      </c>
      <c r="L14" s="3">
        <f t="shared" si="5"/>
        <v>5.433383070856794E-05</v>
      </c>
      <c r="M14" s="1">
        <f>441263+43025</f>
        <v>484288</v>
      </c>
      <c r="N14" s="3">
        <f t="shared" si="4"/>
        <v>0.11055975716886955</v>
      </c>
    </row>
    <row r="15" spans="1:14" ht="12.75">
      <c r="A15" t="s">
        <v>9</v>
      </c>
      <c r="B15" s="1">
        <f>3111468-84806</f>
        <v>3026662</v>
      </c>
      <c r="C15" s="1">
        <v>924919</v>
      </c>
      <c r="D15" s="3">
        <f t="shared" si="0"/>
        <v>0.3055904491482696</v>
      </c>
      <c r="E15" s="1">
        <v>589174</v>
      </c>
      <c r="F15" s="3">
        <f t="shared" si="1"/>
        <v>0.1946613133544479</v>
      </c>
      <c r="G15" s="1">
        <v>378150</v>
      </c>
      <c r="H15" s="3">
        <f t="shared" si="2"/>
        <v>0.12493961995095587</v>
      </c>
      <c r="I15" s="1">
        <v>930468</v>
      </c>
      <c r="J15" s="3">
        <f t="shared" si="3"/>
        <v>0.30742382201910884</v>
      </c>
      <c r="K15" s="1">
        <v>0</v>
      </c>
      <c r="L15" s="3">
        <f t="shared" si="5"/>
        <v>0</v>
      </c>
      <c r="M15" s="1">
        <f>180951+34589</f>
        <v>215540</v>
      </c>
      <c r="N15" s="3">
        <f t="shared" si="4"/>
        <v>0.07121376618862628</v>
      </c>
    </row>
    <row r="16" spans="1:14" ht="12.75">
      <c r="A16" t="s">
        <v>10</v>
      </c>
      <c r="B16" s="1">
        <f>835799-11309</f>
        <v>824490</v>
      </c>
      <c r="C16" s="1">
        <v>163150</v>
      </c>
      <c r="D16" s="3">
        <f t="shared" si="0"/>
        <v>0.19787990151487586</v>
      </c>
      <c r="E16" s="1">
        <v>402210</v>
      </c>
      <c r="F16" s="3">
        <f t="shared" si="1"/>
        <v>0.48782883964632684</v>
      </c>
      <c r="G16" s="1">
        <v>68138</v>
      </c>
      <c r="H16" s="3">
        <f t="shared" si="2"/>
        <v>0.08264260330628631</v>
      </c>
      <c r="I16" s="1">
        <v>166843</v>
      </c>
      <c r="J16" s="3">
        <f t="shared" si="3"/>
        <v>0.20235903406954603</v>
      </c>
      <c r="K16" s="1">
        <v>0</v>
      </c>
      <c r="L16" s="3">
        <f t="shared" si="5"/>
        <v>0</v>
      </c>
      <c r="M16" s="1">
        <f>18685+9316</f>
        <v>28001</v>
      </c>
      <c r="N16" s="3">
        <f t="shared" si="4"/>
        <v>0.03396160050455433</v>
      </c>
    </row>
    <row r="17" spans="1:14" ht="12.75">
      <c r="A17" t="s">
        <v>11</v>
      </c>
      <c r="B17" s="1">
        <f>7289-832</f>
        <v>6457</v>
      </c>
      <c r="C17" s="1">
        <v>1954</v>
      </c>
      <c r="D17" s="3">
        <f t="shared" si="0"/>
        <v>0.30261731454235713</v>
      </c>
      <c r="E17" s="1">
        <v>81</v>
      </c>
      <c r="F17" s="3">
        <f t="shared" si="1"/>
        <v>0.012544525321356668</v>
      </c>
      <c r="G17" s="1">
        <v>2253</v>
      </c>
      <c r="H17" s="3">
        <f t="shared" si="2"/>
        <v>0.348923648753291</v>
      </c>
      <c r="I17" s="1">
        <v>3243</v>
      </c>
      <c r="J17" s="3">
        <f t="shared" si="3"/>
        <v>0.5022456249032058</v>
      </c>
      <c r="K17" s="1">
        <v>0</v>
      </c>
      <c r="L17" s="3">
        <f t="shared" si="5"/>
        <v>0</v>
      </c>
      <c r="M17" s="1">
        <f>174</f>
        <v>174</v>
      </c>
      <c r="N17" s="3">
        <f t="shared" si="4"/>
        <v>0.026947498838469877</v>
      </c>
    </row>
    <row r="18" spans="1:14" ht="12.75">
      <c r="A18" t="s">
        <v>25</v>
      </c>
      <c r="B18" s="1">
        <v>1678946</v>
      </c>
      <c r="C18" s="1">
        <v>376762</v>
      </c>
      <c r="D18" s="3">
        <f t="shared" si="0"/>
        <v>0.22440388195927682</v>
      </c>
      <c r="E18" s="1">
        <v>8004</v>
      </c>
      <c r="F18" s="3">
        <f t="shared" si="1"/>
        <v>0.004767276612827333</v>
      </c>
      <c r="G18" s="1">
        <v>196190</v>
      </c>
      <c r="H18" s="3">
        <f t="shared" si="2"/>
        <v>0.11685307329717573</v>
      </c>
      <c r="I18" s="1">
        <v>1048005</v>
      </c>
      <c r="J18" s="3">
        <f t="shared" si="3"/>
        <v>0.624204113771378</v>
      </c>
      <c r="K18" s="1">
        <v>0</v>
      </c>
      <c r="L18" s="3">
        <f t="shared" si="5"/>
        <v>0</v>
      </c>
      <c r="M18" s="1">
        <f>36967+9997</f>
        <v>46964</v>
      </c>
      <c r="N18" s="3">
        <f t="shared" si="4"/>
        <v>0.027972311200002858</v>
      </c>
    </row>
    <row r="19" spans="1:14" ht="12.75">
      <c r="A19" s="11" t="s">
        <v>12</v>
      </c>
      <c r="B19" s="1">
        <f>1844399-8233</f>
        <v>1836166</v>
      </c>
      <c r="C19" s="1">
        <v>334134</v>
      </c>
      <c r="D19" s="3">
        <f t="shared" si="0"/>
        <v>0.18197374311472927</v>
      </c>
      <c r="E19" s="1">
        <v>329255</v>
      </c>
      <c r="F19" s="3">
        <f t="shared" si="1"/>
        <v>0.17931657595228317</v>
      </c>
      <c r="G19" s="1">
        <v>291799</v>
      </c>
      <c r="H19" s="3">
        <f t="shared" si="2"/>
        <v>0.1589175488490692</v>
      </c>
      <c r="I19" s="1">
        <v>810474</v>
      </c>
      <c r="J19" s="3">
        <f t="shared" si="3"/>
        <v>0.4413947322845538</v>
      </c>
      <c r="K19" s="1">
        <v>-1162</v>
      </c>
      <c r="L19" s="3">
        <f t="shared" si="5"/>
        <v>-0.000632840385891036</v>
      </c>
      <c r="M19" s="1">
        <f>72585+5873</f>
        <v>78458</v>
      </c>
      <c r="N19" s="3">
        <f t="shared" si="4"/>
        <v>0.04272925214822625</v>
      </c>
    </row>
    <row r="20" spans="1:14" ht="12.75">
      <c r="A20" t="s">
        <v>13</v>
      </c>
      <c r="B20" s="1">
        <f>821573-3110</f>
        <v>818463</v>
      </c>
      <c r="C20" s="1">
        <v>151729</v>
      </c>
      <c r="D20" s="3">
        <f t="shared" si="0"/>
        <v>0.18538284565093352</v>
      </c>
      <c r="E20" s="1">
        <v>202535</v>
      </c>
      <c r="F20" s="3">
        <f t="shared" si="1"/>
        <v>0.24745773480291716</v>
      </c>
      <c r="G20" s="1">
        <v>77094</v>
      </c>
      <c r="H20" s="3">
        <f t="shared" si="2"/>
        <v>0.09419362878957264</v>
      </c>
      <c r="I20" s="1">
        <v>345272</v>
      </c>
      <c r="J20" s="3">
        <f t="shared" si="3"/>
        <v>0.4218541339070917</v>
      </c>
      <c r="K20" s="1">
        <v>-622</v>
      </c>
      <c r="L20" s="3">
        <f t="shared" si="5"/>
        <v>-0.0007599610489417359</v>
      </c>
      <c r="M20" s="1">
        <f>50298+9690</f>
        <v>59988</v>
      </c>
      <c r="N20" s="3">
        <f t="shared" si="4"/>
        <v>0.07329347814134543</v>
      </c>
    </row>
    <row r="21" spans="1:14" ht="12.75">
      <c r="A21" t="s">
        <v>14</v>
      </c>
      <c r="B21" s="1">
        <f>348799-3010</f>
        <v>345789</v>
      </c>
      <c r="C21" s="1">
        <v>45712</v>
      </c>
      <c r="D21" s="3">
        <f t="shared" si="0"/>
        <v>0.13219622370867784</v>
      </c>
      <c r="E21" s="1">
        <v>150185</v>
      </c>
      <c r="F21" s="3">
        <f t="shared" si="1"/>
        <v>0.43432555691476593</v>
      </c>
      <c r="G21" s="1">
        <v>29001</v>
      </c>
      <c r="H21" s="3">
        <f t="shared" si="2"/>
        <v>0.08386906466081917</v>
      </c>
      <c r="I21" s="1">
        <v>98066</v>
      </c>
      <c r="J21" s="3">
        <f t="shared" si="3"/>
        <v>0.2836006929081029</v>
      </c>
      <c r="K21" s="1">
        <f>4656+5246</f>
        <v>9902</v>
      </c>
      <c r="L21" s="3">
        <f t="shared" si="5"/>
        <v>0.028635960079701782</v>
      </c>
      <c r="M21" s="1">
        <f>3849+9211</f>
        <v>13060</v>
      </c>
      <c r="N21" s="3">
        <f t="shared" si="4"/>
        <v>0.03776869709562768</v>
      </c>
    </row>
    <row r="22" spans="1:14" ht="12.75">
      <c r="A22" s="11" t="s">
        <v>15</v>
      </c>
      <c r="B22" s="1">
        <f>1383744-133596</f>
        <v>1250148</v>
      </c>
      <c r="C22" s="1">
        <v>240420</v>
      </c>
      <c r="D22" s="3">
        <f t="shared" si="0"/>
        <v>0.19231323011355456</v>
      </c>
      <c r="E22" s="1">
        <v>0</v>
      </c>
      <c r="F22" s="3">
        <f t="shared" si="1"/>
        <v>0</v>
      </c>
      <c r="G22" s="1">
        <v>237132</v>
      </c>
      <c r="H22" s="3">
        <f t="shared" si="2"/>
        <v>0.1896831415160445</v>
      </c>
      <c r="I22" s="1">
        <v>621006</v>
      </c>
      <c r="J22" s="3">
        <f t="shared" si="3"/>
        <v>0.4967459852753434</v>
      </c>
      <c r="K22" s="1">
        <f>17878+106221</f>
        <v>124099</v>
      </c>
      <c r="L22" s="3">
        <f t="shared" si="5"/>
        <v>0.09926744673430665</v>
      </c>
      <c r="M22" s="1">
        <v>27839</v>
      </c>
      <c r="N22" s="3">
        <f t="shared" si="4"/>
        <v>0.022268563402093194</v>
      </c>
    </row>
    <row r="23" spans="1:14" ht="12.75">
      <c r="A23" s="11" t="s">
        <v>16</v>
      </c>
      <c r="B23" s="1">
        <f>851685-40367</f>
        <v>811318</v>
      </c>
      <c r="C23" s="1">
        <v>189050</v>
      </c>
      <c r="D23" s="3">
        <f t="shared" si="0"/>
        <v>0.23301590744936018</v>
      </c>
      <c r="E23" s="1">
        <v>239499</v>
      </c>
      <c r="F23" s="3">
        <f t="shared" si="1"/>
        <v>0.29519744415876387</v>
      </c>
      <c r="G23" s="1">
        <v>92816</v>
      </c>
      <c r="H23" s="3">
        <f t="shared" si="2"/>
        <v>0.11440150471208577</v>
      </c>
      <c r="I23" s="1">
        <v>262507</v>
      </c>
      <c r="J23" s="3">
        <f t="shared" si="3"/>
        <v>0.3235562381211806</v>
      </c>
      <c r="K23" s="1">
        <v>0</v>
      </c>
      <c r="L23" s="3">
        <f t="shared" si="5"/>
        <v>0</v>
      </c>
      <c r="M23" s="1">
        <f>19170+12090</f>
        <v>31260</v>
      </c>
      <c r="N23" s="3">
        <f t="shared" si="4"/>
        <v>0.03852989826430574</v>
      </c>
    </row>
    <row r="24" spans="1:14" ht="12.75">
      <c r="A24" t="s">
        <v>17</v>
      </c>
      <c r="B24" s="1">
        <f>2495162-51590</f>
        <v>2443572</v>
      </c>
      <c r="C24" s="1">
        <v>416328</v>
      </c>
      <c r="D24" s="3">
        <f t="shared" si="0"/>
        <v>0.17037680903202362</v>
      </c>
      <c r="E24" s="1">
        <v>891912</v>
      </c>
      <c r="F24" s="3">
        <f t="shared" si="1"/>
        <v>0.3650033639278892</v>
      </c>
      <c r="G24" s="1">
        <v>303858</v>
      </c>
      <c r="H24" s="3">
        <f t="shared" si="2"/>
        <v>0.12434992707397204</v>
      </c>
      <c r="I24" s="1">
        <v>684709</v>
      </c>
      <c r="J24" s="3">
        <f t="shared" si="3"/>
        <v>0.2802082361395531</v>
      </c>
      <c r="K24" s="1">
        <v>22549</v>
      </c>
      <c r="L24" s="3">
        <f t="shared" si="5"/>
        <v>0.009227884424932026</v>
      </c>
      <c r="M24" s="1">
        <f>94522+33890</f>
        <v>128412</v>
      </c>
      <c r="N24" s="3">
        <f t="shared" si="4"/>
        <v>0.05255093772559188</v>
      </c>
    </row>
    <row r="25" spans="1:14" ht="12.75">
      <c r="A25" s="11" t="s">
        <v>26</v>
      </c>
      <c r="B25" s="1">
        <f>456925-1042</f>
        <v>455883</v>
      </c>
      <c r="C25" s="1">
        <v>48178</v>
      </c>
      <c r="D25" s="3">
        <f t="shared" si="0"/>
        <v>0.10568062419524307</v>
      </c>
      <c r="E25" s="1">
        <v>119385</v>
      </c>
      <c r="F25" s="3">
        <f t="shared" si="1"/>
        <v>0.26187640249800936</v>
      </c>
      <c r="G25" s="1">
        <v>129828</v>
      </c>
      <c r="H25" s="3">
        <f t="shared" si="2"/>
        <v>0.2847835957910253</v>
      </c>
      <c r="I25" s="1">
        <v>149748</v>
      </c>
      <c r="J25" s="3">
        <f t="shared" si="3"/>
        <v>0.3284790176426846</v>
      </c>
      <c r="K25" s="1">
        <v>0</v>
      </c>
      <c r="L25" s="3">
        <f t="shared" si="5"/>
        <v>0</v>
      </c>
      <c r="M25" s="1">
        <f>6868+2386</f>
        <v>9254</v>
      </c>
      <c r="N25" s="3">
        <f t="shared" si="4"/>
        <v>0.020299067962613215</v>
      </c>
    </row>
    <row r="26" spans="1:14" ht="12.75">
      <c r="A26" t="s">
        <v>18</v>
      </c>
      <c r="B26" s="1">
        <f>478194-12629</f>
        <v>465565</v>
      </c>
      <c r="C26" s="1">
        <v>48237</v>
      </c>
      <c r="D26" s="3">
        <f t="shared" si="0"/>
        <v>0.10360959264549525</v>
      </c>
      <c r="E26" s="1">
        <v>290424</v>
      </c>
      <c r="F26" s="3">
        <f t="shared" si="1"/>
        <v>0.6238097795152127</v>
      </c>
      <c r="G26" s="1">
        <v>67504</v>
      </c>
      <c r="H26" s="3">
        <f t="shared" si="2"/>
        <v>0.14499371731122399</v>
      </c>
      <c r="I26" s="1">
        <v>44857</v>
      </c>
      <c r="J26" s="3">
        <f t="shared" si="3"/>
        <v>0.09634959672655806</v>
      </c>
      <c r="K26" s="1">
        <v>0</v>
      </c>
      <c r="L26" s="3">
        <f t="shared" si="5"/>
        <v>0</v>
      </c>
      <c r="M26" s="1">
        <f>8653+6719</f>
        <v>15372</v>
      </c>
      <c r="N26" s="3">
        <f t="shared" si="4"/>
        <v>0.03301794593665761</v>
      </c>
    </row>
    <row r="27" spans="1:14" ht="12.75">
      <c r="A27" t="s">
        <v>27</v>
      </c>
      <c r="B27" s="1">
        <v>2941936</v>
      </c>
      <c r="C27" s="1">
        <v>631982</v>
      </c>
      <c r="D27" s="3">
        <f t="shared" si="0"/>
        <v>0.2148184052950166</v>
      </c>
      <c r="E27" s="1">
        <v>855073</v>
      </c>
      <c r="F27" s="3">
        <f t="shared" si="1"/>
        <v>0.2906497626053048</v>
      </c>
      <c r="G27" s="1">
        <v>174220</v>
      </c>
      <c r="H27" s="3">
        <f t="shared" si="2"/>
        <v>0.05921950715447243</v>
      </c>
      <c r="I27" s="1">
        <v>1174393</v>
      </c>
      <c r="J27" s="3">
        <f t="shared" si="3"/>
        <v>0.39919053303674856</v>
      </c>
      <c r="K27" s="1">
        <v>38017</v>
      </c>
      <c r="L27" s="3">
        <f t="shared" si="5"/>
        <v>0.01292244290834335</v>
      </c>
      <c r="M27" s="1">
        <f>51300+21368</f>
        <v>72668</v>
      </c>
      <c r="N27" s="3">
        <f t="shared" si="4"/>
        <v>0.024700741280571707</v>
      </c>
    </row>
    <row r="28" spans="1:14" ht="12.75">
      <c r="A28" t="s">
        <v>19</v>
      </c>
      <c r="B28" s="1">
        <v>592681</v>
      </c>
      <c r="C28" s="1">
        <v>33216</v>
      </c>
      <c r="D28" s="3">
        <f t="shared" si="0"/>
        <v>0.056043638989608235</v>
      </c>
      <c r="E28" s="1">
        <v>307837</v>
      </c>
      <c r="F28" s="3">
        <f t="shared" si="1"/>
        <v>0.5193974498929441</v>
      </c>
      <c r="G28" s="1">
        <v>14340</v>
      </c>
      <c r="H28" s="3">
        <f t="shared" si="2"/>
        <v>0.02419514038749344</v>
      </c>
      <c r="I28" s="1">
        <v>231758</v>
      </c>
      <c r="J28" s="3">
        <f t="shared" si="3"/>
        <v>0.39103328772138807</v>
      </c>
      <c r="K28" s="1">
        <v>407</v>
      </c>
      <c r="L28" s="3">
        <f t="shared" si="5"/>
        <v>0.0006867100514442001</v>
      </c>
      <c r="M28" s="1">
        <f>3345+1778</f>
        <v>5123</v>
      </c>
      <c r="N28" s="3">
        <f t="shared" si="4"/>
        <v>0.008643772957121959</v>
      </c>
    </row>
    <row r="29" spans="1:14" ht="12.75">
      <c r="A29" t="s">
        <v>20</v>
      </c>
      <c r="B29" s="1">
        <v>137422</v>
      </c>
      <c r="C29" s="1">
        <v>16751</v>
      </c>
      <c r="D29" s="3">
        <f t="shared" si="0"/>
        <v>0.12189460202878724</v>
      </c>
      <c r="E29" s="1">
        <v>36435</v>
      </c>
      <c r="F29" s="3">
        <f t="shared" si="1"/>
        <v>0.26513222045960616</v>
      </c>
      <c r="G29" s="1">
        <v>11213</v>
      </c>
      <c r="H29" s="3">
        <f t="shared" si="2"/>
        <v>0.0815953777415552</v>
      </c>
      <c r="I29" s="1">
        <v>70912</v>
      </c>
      <c r="J29" s="3">
        <f t="shared" si="3"/>
        <v>0.5160163583705666</v>
      </c>
      <c r="K29" s="1">
        <v>0</v>
      </c>
      <c r="L29" s="3">
        <f t="shared" si="5"/>
        <v>0</v>
      </c>
      <c r="M29" s="1">
        <v>2111</v>
      </c>
      <c r="N29" s="3">
        <f t="shared" si="4"/>
        <v>0.0153614413994848</v>
      </c>
    </row>
    <row r="30" spans="1:14" ht="12.75">
      <c r="A30" t="s">
        <v>21</v>
      </c>
      <c r="B30" s="1">
        <v>1510715</v>
      </c>
      <c r="C30" s="1">
        <v>338501</v>
      </c>
      <c r="D30" s="3">
        <f t="shared" si="0"/>
        <v>0.22406674985023647</v>
      </c>
      <c r="E30" s="1">
        <v>80113</v>
      </c>
      <c r="F30" s="3">
        <f t="shared" si="1"/>
        <v>0.053029856723472</v>
      </c>
      <c r="G30" s="1">
        <v>279156</v>
      </c>
      <c r="H30" s="3">
        <f t="shared" si="2"/>
        <v>0.18478402610684344</v>
      </c>
      <c r="I30" s="1">
        <v>716659</v>
      </c>
      <c r="J30" s="3">
        <f t="shared" si="3"/>
        <v>0.4743839837427973</v>
      </c>
      <c r="K30" s="1">
        <v>0</v>
      </c>
      <c r="L30" s="3">
        <f t="shared" si="5"/>
        <v>0</v>
      </c>
      <c r="M30" s="1">
        <f>87275+11241</f>
        <v>98516</v>
      </c>
      <c r="N30" s="3">
        <f t="shared" si="4"/>
        <v>0.06521150581016273</v>
      </c>
    </row>
    <row r="31" spans="1:14" ht="12.75">
      <c r="A31" t="s">
        <v>22</v>
      </c>
      <c r="B31" s="1">
        <f>582903-1062</f>
        <v>581841</v>
      </c>
      <c r="C31" s="1">
        <v>59333</v>
      </c>
      <c r="D31" s="3">
        <f t="shared" si="0"/>
        <v>0.10197459443387455</v>
      </c>
      <c r="E31" s="1">
        <v>135655</v>
      </c>
      <c r="F31" s="3">
        <f t="shared" si="1"/>
        <v>0.23314788748128784</v>
      </c>
      <c r="G31" s="1">
        <v>71268</v>
      </c>
      <c r="H31" s="3">
        <f t="shared" si="2"/>
        <v>0.12248707121017598</v>
      </c>
      <c r="I31" s="1">
        <v>288935</v>
      </c>
      <c r="J31" s="3">
        <f t="shared" si="3"/>
        <v>0.49658755570679963</v>
      </c>
      <c r="K31" s="1">
        <v>0</v>
      </c>
      <c r="L31" s="3">
        <f t="shared" si="5"/>
        <v>0</v>
      </c>
      <c r="M31" s="1">
        <f>21359+4722</f>
        <v>26081</v>
      </c>
      <c r="N31" s="3">
        <f t="shared" si="4"/>
        <v>0.04482496077106976</v>
      </c>
    </row>
    <row r="32" spans="1:14" ht="12.75">
      <c r="A32" t="s">
        <v>23</v>
      </c>
      <c r="B32" s="1">
        <f>1659138-36914</f>
        <v>1622224</v>
      </c>
      <c r="C32" s="1">
        <v>420930</v>
      </c>
      <c r="D32" s="3">
        <f t="shared" si="0"/>
        <v>0.2594771129017941</v>
      </c>
      <c r="E32" s="1">
        <v>138303</v>
      </c>
      <c r="F32" s="3">
        <f t="shared" si="1"/>
        <v>0.0852551805422679</v>
      </c>
      <c r="G32" s="1">
        <v>220618</v>
      </c>
      <c r="H32" s="3">
        <f t="shared" si="2"/>
        <v>0.13599724822219372</v>
      </c>
      <c r="I32" s="1">
        <v>755797</v>
      </c>
      <c r="J32" s="3">
        <f t="shared" si="3"/>
        <v>0.46590174969671266</v>
      </c>
      <c r="K32" s="1">
        <v>15</v>
      </c>
      <c r="L32" s="3">
        <f t="shared" si="5"/>
        <v>9.246565209243606E-06</v>
      </c>
      <c r="M32" s="1">
        <f>52753+29772</f>
        <v>82525</v>
      </c>
      <c r="N32" s="3">
        <f t="shared" si="4"/>
        <v>0.05087151959285524</v>
      </c>
    </row>
    <row r="33" spans="1:14" ht="12.75">
      <c r="A33" t="s">
        <v>24</v>
      </c>
      <c r="B33" s="1">
        <v>143609</v>
      </c>
      <c r="C33" s="1">
        <v>15506</v>
      </c>
      <c r="D33" s="3">
        <f t="shared" si="0"/>
        <v>0.10797373423671218</v>
      </c>
      <c r="E33" s="1">
        <v>394</v>
      </c>
      <c r="F33" s="3">
        <f t="shared" si="1"/>
        <v>0.0027435606403498386</v>
      </c>
      <c r="G33" s="1">
        <v>22343</v>
      </c>
      <c r="H33" s="3">
        <f t="shared" si="2"/>
        <v>0.15558217103384886</v>
      </c>
      <c r="I33" s="1">
        <v>98658</v>
      </c>
      <c r="J33" s="3">
        <f t="shared" si="3"/>
        <v>0.6869903696843512</v>
      </c>
      <c r="K33" s="1">
        <v>408</v>
      </c>
      <c r="L33" s="3">
        <f t="shared" si="5"/>
        <v>0.0028410475666566857</v>
      </c>
      <c r="M33" s="1">
        <v>6300</v>
      </c>
      <c r="N33" s="3">
        <f t="shared" si="4"/>
        <v>0.04386911683808118</v>
      </c>
    </row>
    <row r="34" spans="2:14" ht="12.75">
      <c r="B34" s="1"/>
      <c r="C34" s="1"/>
      <c r="D34" s="4" t="s">
        <v>31</v>
      </c>
      <c r="E34" s="1"/>
      <c r="F34" s="4" t="s">
        <v>31</v>
      </c>
      <c r="G34" s="1"/>
      <c r="H34" s="4" t="s">
        <v>31</v>
      </c>
      <c r="I34" s="1"/>
      <c r="J34" s="4" t="s">
        <v>31</v>
      </c>
      <c r="K34" s="1"/>
      <c r="L34" s="4" t="s">
        <v>31</v>
      </c>
      <c r="M34" s="1"/>
      <c r="N34" s="4" t="s">
        <v>31</v>
      </c>
    </row>
    <row r="35" spans="1:14" ht="12.75">
      <c r="A35" t="s">
        <v>125</v>
      </c>
      <c r="B35" s="1">
        <f>SUM(B6:B34)</f>
        <v>126138550</v>
      </c>
      <c r="C35" s="1">
        <f>SUM(C6:C34)</f>
        <v>29267061</v>
      </c>
      <c r="D35" s="3">
        <f t="shared" si="0"/>
        <v>0.23202312853604232</v>
      </c>
      <c r="E35" s="1">
        <f>SUM(E6:E34)</f>
        <v>12814132</v>
      </c>
      <c r="F35" s="3">
        <f t="shared" si="1"/>
        <v>0.10158775410055054</v>
      </c>
      <c r="G35" s="1">
        <f>SUM(G6:G34)</f>
        <v>13884539</v>
      </c>
      <c r="H35" s="3">
        <f t="shared" si="2"/>
        <v>0.11007371656008413</v>
      </c>
      <c r="I35" s="1">
        <f>SUM(I6:I34)</f>
        <v>65009928</v>
      </c>
      <c r="J35" s="3">
        <f t="shared" si="3"/>
        <v>0.5153850904422161</v>
      </c>
      <c r="K35" s="1">
        <f>SUM(K6:K34)</f>
        <v>681606</v>
      </c>
      <c r="L35" s="3">
        <f t="shared" si="5"/>
        <v>0.005403629580330517</v>
      </c>
      <c r="M35" s="1">
        <f>SUM(M6:M34)</f>
        <v>5420645</v>
      </c>
      <c r="N35" s="3">
        <f t="shared" si="4"/>
        <v>0.04297373800475747</v>
      </c>
    </row>
    <row r="36" spans="6:14" ht="12.75">
      <c r="F36" s="4" t="s">
        <v>31</v>
      </c>
      <c r="H36" s="4" t="s">
        <v>31</v>
      </c>
      <c r="J36" s="4" t="s">
        <v>31</v>
      </c>
      <c r="L36" s="4" t="s">
        <v>31</v>
      </c>
      <c r="N36" s="4" t="s">
        <v>31</v>
      </c>
    </row>
    <row r="37" spans="6:14" ht="12.75">
      <c r="F37" s="4" t="s">
        <v>31</v>
      </c>
      <c r="H37" s="4" t="s">
        <v>31</v>
      </c>
      <c r="J37" s="4" t="s">
        <v>31</v>
      </c>
      <c r="L37" s="4" t="s">
        <v>31</v>
      </c>
      <c r="N37" s="4" t="s">
        <v>31</v>
      </c>
    </row>
    <row r="38" spans="1:14" ht="12.75">
      <c r="A38" s="11" t="s">
        <v>57</v>
      </c>
      <c r="B38" s="1">
        <f>2239336802-116586311</f>
        <v>2122750491</v>
      </c>
      <c r="C38" s="1">
        <v>824580969</v>
      </c>
      <c r="D38" s="3">
        <f>C38/B38</f>
        <v>0.388449312576322</v>
      </c>
      <c r="E38" s="1">
        <f>271780337+79556</f>
        <v>271859893</v>
      </c>
      <c r="F38" s="3">
        <f t="shared" si="1"/>
        <v>0.12806964085163414</v>
      </c>
      <c r="G38" s="1">
        <v>95728669</v>
      </c>
      <c r="H38" s="3">
        <f t="shared" si="2"/>
        <v>0.04509652425278841</v>
      </c>
      <c r="I38" s="1">
        <v>574651679</v>
      </c>
      <c r="J38" s="3">
        <f t="shared" si="3"/>
        <v>0.27071089204143306</v>
      </c>
      <c r="K38" s="1">
        <v>44648542</v>
      </c>
      <c r="L38" s="3">
        <f t="shared" si="5"/>
        <v>0.021033344328172388</v>
      </c>
      <c r="M38" s="1">
        <f>427867051-116586311</f>
        <v>311280740</v>
      </c>
      <c r="N38" s="3">
        <f t="shared" si="4"/>
        <v>0.14664028642073695</v>
      </c>
    </row>
    <row r="41" spans="2:3" ht="12.75">
      <c r="B41" s="1" t="s">
        <v>119</v>
      </c>
      <c r="C41" t="s">
        <v>31</v>
      </c>
    </row>
    <row r="42" spans="1:3" ht="12.75">
      <c r="A42" t="s">
        <v>70</v>
      </c>
      <c r="B42" s="31">
        <f>D35</f>
        <v>0.23202312853604232</v>
      </c>
      <c r="C42" s="31" t="s">
        <v>31</v>
      </c>
    </row>
    <row r="43" spans="1:3" ht="12.75">
      <c r="A43" t="s">
        <v>141</v>
      </c>
      <c r="B43" s="31">
        <f>F35</f>
        <v>0.10158775410055054</v>
      </c>
      <c r="C43" s="31" t="s">
        <v>31</v>
      </c>
    </row>
    <row r="44" spans="1:3" ht="12.75">
      <c r="A44" t="s">
        <v>142</v>
      </c>
      <c r="B44" s="31">
        <f>H35</f>
        <v>0.11007371656008413</v>
      </c>
      <c r="C44" s="31" t="s">
        <v>31</v>
      </c>
    </row>
    <row r="45" spans="1:3" ht="12.75">
      <c r="A45" t="s">
        <v>143</v>
      </c>
      <c r="B45" s="31">
        <f>J35</f>
        <v>0.5153850904422161</v>
      </c>
      <c r="C45" s="31" t="s">
        <v>31</v>
      </c>
    </row>
    <row r="46" spans="1:3" ht="12.75">
      <c r="A46" t="s">
        <v>144</v>
      </c>
      <c r="B46" s="31">
        <f>L35</f>
        <v>0.005403629580330517</v>
      </c>
      <c r="C46" s="31" t="s">
        <v>31</v>
      </c>
    </row>
    <row r="47" spans="1:3" ht="12.75">
      <c r="A47" t="s">
        <v>107</v>
      </c>
      <c r="B47" s="31">
        <f>N35</f>
        <v>0.04297373800475747</v>
      </c>
      <c r="C47" s="31" t="s">
        <v>31</v>
      </c>
    </row>
    <row r="48" spans="2:3" ht="12.75">
      <c r="B48" s="31"/>
      <c r="C48" t="s">
        <v>31</v>
      </c>
    </row>
    <row r="49" spans="1:3" ht="12.75">
      <c r="A49" t="s">
        <v>30</v>
      </c>
      <c r="B49" s="31">
        <f>SUM(B42:B47)</f>
        <v>1.007447057223981</v>
      </c>
      <c r="C49" s="31" t="s">
        <v>31</v>
      </c>
    </row>
    <row r="52" spans="1:2" ht="12.75">
      <c r="A52" t="s">
        <v>31</v>
      </c>
      <c r="B52" t="s">
        <v>57</v>
      </c>
    </row>
    <row r="53" spans="1:2" ht="12.75">
      <c r="A53" t="s">
        <v>70</v>
      </c>
      <c r="B53" s="31">
        <f>D38</f>
        <v>0.388449312576322</v>
      </c>
    </row>
    <row r="54" spans="1:2" ht="12.75">
      <c r="A54" t="s">
        <v>141</v>
      </c>
      <c r="B54" s="31">
        <f>F38</f>
        <v>0.12806964085163414</v>
      </c>
    </row>
    <row r="55" spans="1:2" ht="12.75">
      <c r="A55" t="s">
        <v>142</v>
      </c>
      <c r="B55" s="31">
        <f>H38</f>
        <v>0.04509652425278841</v>
      </c>
    </row>
    <row r="56" spans="1:2" ht="12.75">
      <c r="A56" t="s">
        <v>143</v>
      </c>
      <c r="B56" s="31">
        <f>J38</f>
        <v>0.27071089204143306</v>
      </c>
    </row>
    <row r="57" spans="1:2" ht="12.75">
      <c r="A57" t="s">
        <v>144</v>
      </c>
      <c r="B57" s="31">
        <f>L38</f>
        <v>0.021033344328172388</v>
      </c>
    </row>
    <row r="58" spans="1:2" ht="12.75">
      <c r="A58" t="s">
        <v>107</v>
      </c>
      <c r="B58" s="31">
        <f>N38</f>
        <v>0.14664028642073695</v>
      </c>
    </row>
    <row r="60" spans="1:2" ht="12.75">
      <c r="A60" t="s">
        <v>30</v>
      </c>
      <c r="B60" s="31">
        <f>SUM(B53:B58)</f>
        <v>1.000000000471087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&amp;C&amp;"Arial,Bold"REVENUE CALCULATIONS &amp;R&amp;"Arial,Bold"Docket No. 00I -494T
Staff Report - Appendix 11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</dc:creator>
  <cp:keywords/>
  <dc:description/>
  <cp:lastModifiedBy>Lloyd Petersen</cp:lastModifiedBy>
  <cp:lastPrinted>2002-02-14T21:47:51Z</cp:lastPrinted>
  <dcterms:created xsi:type="dcterms:W3CDTF">2001-05-31T17:16:40Z</dcterms:created>
  <dcterms:modified xsi:type="dcterms:W3CDTF">2002-02-14T21:51:00Z</dcterms:modified>
  <cp:category/>
  <cp:version/>
  <cp:contentType/>
  <cp:contentStatus/>
</cp:coreProperties>
</file>