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9120" activeTab="0"/>
  </bookViews>
  <sheets>
    <sheet name="Summary" sheetId="1" r:id="rId1"/>
    <sheet name="Income Statement" sheetId="2" r:id="rId2"/>
    <sheet name="Rate Base" sheetId="3" r:id="rId3"/>
    <sheet name="Capital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<sst xmlns="http://schemas.openxmlformats.org/spreadsheetml/2006/main" count="155" uniqueCount="119">
  <si>
    <t>NO</t>
  </si>
  <si>
    <t>DESCRIPTION</t>
  </si>
  <si>
    <t>OPERATING REVENUE</t>
  </si>
  <si>
    <t xml:space="preserve">  SALES OF ELECTRICITY</t>
  </si>
  <si>
    <t xml:space="preserve">  OTHER</t>
  </si>
  <si>
    <t xml:space="preserve">    TOTAL OPERATING REVENUE</t>
  </si>
  <si>
    <t>OPERATING EXPENSES</t>
  </si>
  <si>
    <t xml:space="preserve">  DEPRECIATION &amp; AMORTIZATION (403-407.2)</t>
  </si>
  <si>
    <t xml:space="preserve">  TAXES OTHER THAN INCOME (408.1)</t>
  </si>
  <si>
    <t xml:space="preserve">  INCOME TAXES:</t>
  </si>
  <si>
    <t xml:space="preserve">   CURRENT (409)</t>
  </si>
  <si>
    <t xml:space="preserve">   DEFERRED (410)</t>
  </si>
  <si>
    <t xml:space="preserve">    TOTAL OPERATING EXPENSES</t>
  </si>
  <si>
    <t>NET UTILITY OPERATING INCOME</t>
  </si>
  <si>
    <t>Payroll Annualization</t>
  </si>
  <si>
    <t>INTANGIBLE</t>
  </si>
  <si>
    <t>PRODUCTION</t>
  </si>
  <si>
    <t>TRANSMISSION</t>
  </si>
  <si>
    <t>DISTRIBUTION</t>
  </si>
  <si>
    <t>GENERAL</t>
  </si>
  <si>
    <t xml:space="preserve">  TOTAL PLANT IN SERVICE</t>
  </si>
  <si>
    <t>CONSTRUCTION WORK IN PROGRESS</t>
  </si>
  <si>
    <t>REFERENCE</t>
  </si>
  <si>
    <t>PLANT IN SERVICE</t>
  </si>
  <si>
    <t>SEC 4 SCH 1</t>
  </si>
  <si>
    <t>GENERAL - COMMON</t>
  </si>
  <si>
    <t>ACQUISITION ADJUSTMENT</t>
  </si>
  <si>
    <t xml:space="preserve">  TOTAL UTILITY PLANT</t>
  </si>
  <si>
    <t>LESS:</t>
  </si>
  <si>
    <t>ACCUM. PROV. FOR DEPR &amp; AMORT</t>
  </si>
  <si>
    <t>SEC 5 SCH 1</t>
  </si>
  <si>
    <t>ACCUM AMORTIZATION &amp; DEPLETION</t>
  </si>
  <si>
    <t>ACCUM. PROV. FOR AMORT OF ACQ ADJ</t>
  </si>
  <si>
    <t xml:space="preserve">  TOTAL ACCUM. PROV. FOR DEPR &amp; AMORT</t>
  </si>
  <si>
    <t>NET PLANT IN SERVICE</t>
  </si>
  <si>
    <t>OTHER RATE BASE ITEMS</t>
  </si>
  <si>
    <t xml:space="preserve">  MATERIALS &amp; SUPPLIES-FUEL</t>
  </si>
  <si>
    <t>SEC 6 SCH 1</t>
  </si>
  <si>
    <t xml:space="preserve">  MATERIALS &amp; SUPPLIES-PLANT</t>
  </si>
  <si>
    <t xml:space="preserve">  PREPAYMENTS - OTHER</t>
  </si>
  <si>
    <t xml:space="preserve">  CUSTOMER ADVANCES FOR CONSTRUCTION</t>
  </si>
  <si>
    <t xml:space="preserve">  CASH WORKING CAPITAL</t>
  </si>
  <si>
    <t xml:space="preserve">  ACCUMULATED DEFERRED INCOME TAXES</t>
  </si>
  <si>
    <t xml:space="preserve">  CUSTOMER DEPOSITS</t>
  </si>
  <si>
    <t xml:space="preserve">    TOTAL OTHER RATE BASE ITEMS</t>
  </si>
  <si>
    <t>TOTAL RATE BASE</t>
  </si>
  <si>
    <t>Prepayments</t>
  </si>
  <si>
    <t>ADIT</t>
  </si>
  <si>
    <t>AQUILA NETWORKS-WPC</t>
  </si>
  <si>
    <t>DOCKET NO. 04S-035E</t>
  </si>
  <si>
    <t xml:space="preserve">AQUILA 
</t>
  </si>
  <si>
    <t>AS ADJUSTED</t>
  </si>
  <si>
    <t>SETTLEMENT</t>
  </si>
  <si>
    <t>PER</t>
  </si>
  <si>
    <t>STATEMENT OF OPERATIONS PER SETTLEMENT</t>
  </si>
  <si>
    <t>AQUILA</t>
  </si>
  <si>
    <t>Public Service</t>
  </si>
  <si>
    <t>Capacity</t>
  </si>
  <si>
    <t>Transmission</t>
  </si>
  <si>
    <t>Other</t>
  </si>
  <si>
    <t>COST OF CAPITAL PER SETTLEMENT</t>
  </si>
  <si>
    <t>Line</t>
  </si>
  <si>
    <t>No.</t>
  </si>
  <si>
    <t>Description</t>
  </si>
  <si>
    <t>Ratio</t>
  </si>
  <si>
    <t>Embedded</t>
  </si>
  <si>
    <t>Weighted</t>
  </si>
  <si>
    <t>Cost</t>
  </si>
  <si>
    <t>Common Equity</t>
  </si>
  <si>
    <t>Long-term Debt</t>
  </si>
  <si>
    <t xml:space="preserve">  Total</t>
  </si>
  <si>
    <t>Peaking Capacity</t>
  </si>
  <si>
    <t>Payroll</t>
  </si>
  <si>
    <t>Income Taxes</t>
  </si>
  <si>
    <t>Total Settlement</t>
  </si>
  <si>
    <t>Adjustments</t>
  </si>
  <si>
    <t>CALCULATION OF SETTLEMENT REVENUE REQUIREMENT</t>
  </si>
  <si>
    <t>12 MONTHS ENDING AUGUST 31, 2003</t>
  </si>
  <si>
    <t>LINE</t>
  </si>
  <si>
    <t>NO.</t>
  </si>
  <si>
    <t>Amount</t>
  </si>
  <si>
    <t>Net CPUC Jurisdictional Rate Base</t>
  </si>
  <si>
    <t>Return On Rate Base</t>
  </si>
  <si>
    <t>Required Net Operating Income</t>
  </si>
  <si>
    <t>Deficiency</t>
  </si>
  <si>
    <t>Income Tax Factor</t>
  </si>
  <si>
    <t>Required Revenue Change</t>
  </si>
  <si>
    <t>Settlement Agreement</t>
  </si>
  <si>
    <t>Attachment A</t>
  </si>
  <si>
    <t>Schedule 1</t>
  </si>
  <si>
    <t>CWC Staff</t>
  </si>
  <si>
    <t>JURISDICTIONAL RATE BASE PER SETTLEMENT AGREEMENT</t>
  </si>
  <si>
    <t>TEST YEAR ENDED AUGUST 31, 2003</t>
  </si>
  <si>
    <t>Schedule 3</t>
  </si>
  <si>
    <t>Schedule 2</t>
  </si>
  <si>
    <t>Schedule 4</t>
  </si>
  <si>
    <t>Net CPUC Jurisdictional Operating Income</t>
  </si>
  <si>
    <t>Staff Interest Deduct</t>
  </si>
  <si>
    <t>Annualized Interest-Staff</t>
  </si>
  <si>
    <t>Annualized Interest-WPC</t>
  </si>
  <si>
    <t>Decrease in Interest Deduction</t>
  </si>
  <si>
    <t>Increase in Income Taxes</t>
  </si>
  <si>
    <t>Interest</t>
  </si>
  <si>
    <t>Effect on Average Residential Customer Before ICA-Monthly</t>
  </si>
  <si>
    <t>Effect on Average Small Business Customer Before ICA-Monthly</t>
  </si>
  <si>
    <t>Effect on Average Residential Customer After ICA-Monthly</t>
  </si>
  <si>
    <t>Effect on Average Small Business Customer After ICA-Monthly</t>
  </si>
  <si>
    <t>Residential Average Usage per Month</t>
  </si>
  <si>
    <t>Small Business Average Usage per Month</t>
  </si>
  <si>
    <t xml:space="preserve">  Total Cost of Sales</t>
  </si>
  <si>
    <t xml:space="preserve">  Production O &amp; M</t>
  </si>
  <si>
    <t xml:space="preserve">  Transmission O &amp; M</t>
  </si>
  <si>
    <t xml:space="preserve">  Distribution O &amp; M</t>
  </si>
  <si>
    <t xml:space="preserve">  Customer O &amp; M</t>
  </si>
  <si>
    <t xml:space="preserve">  Administrative &amp; General O &amp; M</t>
  </si>
  <si>
    <t>Reconciliation</t>
  </si>
  <si>
    <t>Adjustment</t>
  </si>
  <si>
    <t>As Adjusted Base Revenue</t>
  </si>
  <si>
    <t>Proposed Base Rate Increase (Surcharge)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</si>
</sst>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0.0%"/>
    <numFmt numFmtId="169" formatCode="0.000000%"/>
    <numFmt numFmtId="170" formatCode="0.00000%"/>
    <numFmt numFmtId="171" formatCode="0.0000%"/>
    <numFmt numFmtId="172" formatCode="0.000%"/>
  </numFmts>
  <fonts count="8">
    <font>
      <sz val="11"/>
      <name val="Arial"/>
      <family val="0"/>
    </font>
    <font>
      <sz val="10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17" applyNumberFormat="1" applyAlignment="1">
      <alignment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38" fontId="3" fillId="0" borderId="0" xfId="0" applyNumberFormat="1" applyFont="1" applyAlignment="1">
      <alignment horizontal="center"/>
    </xf>
    <xf numFmtId="38" fontId="0" fillId="0" borderId="0" xfId="0" applyNumberFormat="1" applyAlignment="1">
      <alignment horizontal="right"/>
    </xf>
    <xf numFmtId="38" fontId="3" fillId="0" borderId="0" xfId="0" applyNumberFormat="1" applyFont="1" applyAlignment="1">
      <alignment horizontal="right" wrapText="1"/>
    </xf>
    <xf numFmtId="38" fontId="3" fillId="0" borderId="0" xfId="0" applyNumberFormat="1" applyFont="1" applyAlignment="1">
      <alignment horizontal="right"/>
    </xf>
    <xf numFmtId="164" fontId="0" fillId="0" borderId="3" xfId="17" applyNumberFormat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10" fontId="0" fillId="0" borderId="0" xfId="21" applyNumberFormat="1" applyAlignment="1">
      <alignment/>
    </xf>
    <xf numFmtId="10" fontId="0" fillId="0" borderId="3" xfId="21" applyNumberFormat="1" applyBorder="1" applyAlignment="1">
      <alignment/>
    </xf>
    <xf numFmtId="0" fontId="3" fillId="0" borderId="0" xfId="0" applyFont="1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4" fontId="1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4" fontId="1" fillId="0" borderId="0" xfId="17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164" fontId="1" fillId="0" borderId="4" xfId="17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2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44" fontId="0" fillId="0" borderId="0" xfId="17" applyAlignment="1">
      <alignment/>
    </xf>
    <xf numFmtId="172" fontId="0" fillId="0" borderId="0" xfId="21" applyNumberFormat="1" applyAlignment="1">
      <alignment/>
    </xf>
    <xf numFmtId="165" fontId="0" fillId="0" borderId="0" xfId="15" applyNumberFormat="1" applyAlignment="1">
      <alignment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B1">
      <selection activeCell="G5" sqref="G5"/>
    </sheetView>
  </sheetViews>
  <sheetFormatPr defaultColWidth="9.00390625" defaultRowHeight="14.25"/>
  <cols>
    <col min="1" max="1" width="5.00390625" style="0" customWidth="1"/>
    <col min="2" max="2" width="53.125" style="0" customWidth="1"/>
    <col min="3" max="4" width="14.625" style="0" customWidth="1"/>
    <col min="7" max="7" width="11.25390625" style="0" customWidth="1"/>
  </cols>
  <sheetData>
    <row r="1" spans="2:6" ht="14.25">
      <c r="B1" s="53" t="s">
        <v>48</v>
      </c>
      <c r="C1" s="53"/>
      <c r="D1" s="53"/>
      <c r="F1" t="s">
        <v>87</v>
      </c>
    </row>
    <row r="2" spans="2:6" ht="14.25">
      <c r="B2" s="53" t="s">
        <v>76</v>
      </c>
      <c r="C2" s="53"/>
      <c r="D2" s="53"/>
      <c r="F2" t="s">
        <v>88</v>
      </c>
    </row>
    <row r="3" spans="2:6" ht="14.25">
      <c r="B3" s="53" t="s">
        <v>77</v>
      </c>
      <c r="C3" s="53"/>
      <c r="D3" s="53"/>
      <c r="F3" t="s">
        <v>89</v>
      </c>
    </row>
    <row r="4" spans="2:4" ht="14.25">
      <c r="B4" s="53" t="s">
        <v>49</v>
      </c>
      <c r="C4" s="53"/>
      <c r="D4" s="53"/>
    </row>
    <row r="5" spans="2:4" ht="14.25">
      <c r="B5" s="2"/>
      <c r="C5" s="2"/>
      <c r="D5" s="2"/>
    </row>
    <row r="7" ht="14.25">
      <c r="A7" s="2" t="s">
        <v>78</v>
      </c>
    </row>
    <row r="8" spans="1:4" ht="14.25">
      <c r="A8" s="2" t="s">
        <v>79</v>
      </c>
      <c r="B8" s="19" t="s">
        <v>63</v>
      </c>
      <c r="D8" s="22" t="s">
        <v>80</v>
      </c>
    </row>
    <row r="9" spans="1:4" ht="14.25">
      <c r="A9" s="2">
        <v>1</v>
      </c>
      <c r="B9" t="s">
        <v>81</v>
      </c>
      <c r="D9" s="4">
        <f>'Rate Base'!H39</f>
        <v>122489252.08333333</v>
      </c>
    </row>
    <row r="10" ht="14.25">
      <c r="A10" s="2"/>
    </row>
    <row r="11" spans="1:4" ht="14.25">
      <c r="A11" s="2">
        <v>2</v>
      </c>
      <c r="B11" t="s">
        <v>82</v>
      </c>
      <c r="D11" s="23">
        <f>Capital!E13</f>
        <v>0.0876425</v>
      </c>
    </row>
    <row r="12" ht="14.25">
      <c r="A12" s="2"/>
    </row>
    <row r="13" spans="1:4" ht="14.25">
      <c r="A13" s="2">
        <v>3</v>
      </c>
      <c r="B13" t="s">
        <v>83</v>
      </c>
      <c r="D13" s="4">
        <f>D9*D11</f>
        <v>10735264.27571354</v>
      </c>
    </row>
    <row r="14" ht="14.25">
      <c r="A14" s="2"/>
    </row>
    <row r="15" spans="1:4" ht="14.25">
      <c r="A15" s="2">
        <v>4</v>
      </c>
      <c r="B15" t="s">
        <v>96</v>
      </c>
      <c r="D15" s="4">
        <f>'Income Statement'!M27</f>
        <v>5652043.304614514</v>
      </c>
    </row>
    <row r="16" ht="14.25">
      <c r="A16" s="2"/>
    </row>
    <row r="17" spans="1:4" ht="14.25">
      <c r="A17" s="2">
        <v>5</v>
      </c>
      <c r="B17" t="s">
        <v>84</v>
      </c>
      <c r="D17" s="12">
        <f>D13-D15</f>
        <v>5083220.9710990265</v>
      </c>
    </row>
    <row r="18" ht="14.25">
      <c r="A18" s="2"/>
    </row>
    <row r="19" spans="1:4" ht="14.25">
      <c r="A19" s="2">
        <v>6</v>
      </c>
      <c r="B19" t="s">
        <v>85</v>
      </c>
      <c r="D19">
        <f>1/0.619905</f>
        <v>1.6131504020777376</v>
      </c>
    </row>
    <row r="20" ht="14.25">
      <c r="A20" s="2"/>
    </row>
    <row r="21" spans="1:4" ht="14.25">
      <c r="A21" s="2">
        <v>7</v>
      </c>
      <c r="B21" t="s">
        <v>86</v>
      </c>
      <c r="D21" s="4">
        <f>D17*D19</f>
        <v>8199999.953378382</v>
      </c>
    </row>
    <row r="22" ht="14.25">
      <c r="A22" s="2"/>
    </row>
    <row r="23" spans="1:4" ht="14.25">
      <c r="A23" s="2">
        <v>8</v>
      </c>
      <c r="B23" t="s">
        <v>117</v>
      </c>
      <c r="D23" s="4">
        <f>118340819</f>
        <v>118340819</v>
      </c>
    </row>
    <row r="24" ht="14.25">
      <c r="A24" s="2"/>
    </row>
    <row r="25" spans="1:4" ht="14.25">
      <c r="A25" s="2">
        <v>9</v>
      </c>
      <c r="B25" t="s">
        <v>118</v>
      </c>
      <c r="D25" s="20">
        <f>D21/D23</f>
        <v>0.06929139093906712</v>
      </c>
    </row>
    <row r="26" ht="14.25">
      <c r="A26" s="2"/>
    </row>
    <row r="27" spans="1:4" ht="14.25">
      <c r="A27" s="2">
        <v>10</v>
      </c>
      <c r="B27" t="s">
        <v>103</v>
      </c>
      <c r="D27" s="49">
        <f>3.57</f>
        <v>3.57</v>
      </c>
    </row>
    <row r="28" spans="1:4" ht="14.25">
      <c r="A28" s="2"/>
      <c r="D28" s="49"/>
    </row>
    <row r="29" spans="1:4" ht="14.25">
      <c r="A29" s="2">
        <v>11</v>
      </c>
      <c r="B29" t="s">
        <v>104</v>
      </c>
      <c r="D29" s="49">
        <v>12.06</v>
      </c>
    </row>
    <row r="30" spans="1:4" ht="14.25">
      <c r="A30" s="2"/>
      <c r="D30" s="49"/>
    </row>
    <row r="31" spans="1:4" ht="14.25">
      <c r="A31" s="2">
        <v>12</v>
      </c>
      <c r="B31" t="s">
        <v>105</v>
      </c>
      <c r="D31" s="49">
        <f>D27-(596*0.00303)</f>
        <v>1.7641199999999997</v>
      </c>
    </row>
    <row r="32" spans="1:4" ht="14.25">
      <c r="A32" s="2"/>
      <c r="D32" s="49"/>
    </row>
    <row r="33" spans="1:4" ht="14.25">
      <c r="A33" s="2">
        <v>13</v>
      </c>
      <c r="B33" t="s">
        <v>106</v>
      </c>
      <c r="D33" s="49">
        <f>D29-(2342*0.00303)</f>
        <v>4.9637400000000005</v>
      </c>
    </row>
    <row r="34" ht="14.25">
      <c r="A34" s="2"/>
    </row>
    <row r="35" spans="1:4" ht="14.25">
      <c r="A35" s="2">
        <v>14</v>
      </c>
      <c r="B35" t="s">
        <v>107</v>
      </c>
      <c r="D35" s="51">
        <v>596</v>
      </c>
    </row>
    <row r="36" spans="1:4" ht="14.25">
      <c r="A36" s="2"/>
      <c r="D36" s="51"/>
    </row>
    <row r="37" spans="1:4" ht="14.25">
      <c r="A37" s="2">
        <v>15</v>
      </c>
      <c r="B37" t="s">
        <v>108</v>
      </c>
      <c r="D37" s="51">
        <v>2342</v>
      </c>
    </row>
  </sheetData>
  <mergeCells count="4">
    <mergeCell ref="B1:D1"/>
    <mergeCell ref="B2:D2"/>
    <mergeCell ref="B3:D3"/>
    <mergeCell ref="B4:D4"/>
  </mergeCells>
  <printOptions horizontalCentered="1"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E1">
      <selection activeCell="K1" sqref="K1:M4"/>
    </sheetView>
  </sheetViews>
  <sheetFormatPr defaultColWidth="9.00390625" defaultRowHeight="14.25"/>
  <cols>
    <col min="1" max="1" width="3.25390625" style="0" bestFit="1" customWidth="1"/>
    <col min="2" max="2" width="43.00390625" style="0" bestFit="1" customWidth="1"/>
    <col min="3" max="3" width="13.875" style="0" bestFit="1" customWidth="1"/>
    <col min="4" max="4" width="13.875" style="0" customWidth="1"/>
    <col min="5" max="13" width="14.625" style="0" customWidth="1"/>
  </cols>
  <sheetData>
    <row r="1" spans="1:16" ht="14.25">
      <c r="A1" s="24"/>
      <c r="B1" s="25" t="s">
        <v>48</v>
      </c>
      <c r="C1" s="24"/>
      <c r="D1" s="24"/>
      <c r="E1" s="24"/>
      <c r="F1" s="24"/>
      <c r="G1" s="24"/>
      <c r="H1" s="24"/>
      <c r="I1" s="24"/>
      <c r="J1" s="24"/>
      <c r="K1" s="24"/>
      <c r="L1" s="8" t="s">
        <v>87</v>
      </c>
      <c r="M1" s="24"/>
      <c r="O1" s="24"/>
      <c r="P1" s="24"/>
    </row>
    <row r="2" spans="1:16" ht="14.25">
      <c r="A2" s="24"/>
      <c r="B2" s="25" t="s">
        <v>54</v>
      </c>
      <c r="C2" s="24"/>
      <c r="D2" s="24"/>
      <c r="E2" s="24"/>
      <c r="F2" s="24"/>
      <c r="G2" s="24"/>
      <c r="H2" s="24"/>
      <c r="I2" s="24"/>
      <c r="J2" s="24"/>
      <c r="K2" s="24"/>
      <c r="L2" s="8" t="s">
        <v>88</v>
      </c>
      <c r="M2" s="24"/>
      <c r="O2" s="24"/>
      <c r="P2" s="24"/>
    </row>
    <row r="3" spans="1:16" ht="14.25">
      <c r="A3" s="24"/>
      <c r="B3" s="26" t="s">
        <v>49</v>
      </c>
      <c r="C3" s="24"/>
      <c r="D3" s="24"/>
      <c r="E3" s="24"/>
      <c r="F3" s="24"/>
      <c r="G3" s="24"/>
      <c r="H3" s="24"/>
      <c r="I3" s="24"/>
      <c r="J3" s="24"/>
      <c r="K3" s="24"/>
      <c r="L3" s="8" t="s">
        <v>94</v>
      </c>
      <c r="M3" s="24"/>
      <c r="O3" s="24"/>
      <c r="P3" s="24"/>
    </row>
    <row r="4" spans="1:16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</row>
    <row r="5" spans="1:16" ht="14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7"/>
      <c r="N5" s="24"/>
      <c r="O5" s="24"/>
      <c r="P5" s="24"/>
    </row>
    <row r="6" spans="1:16" ht="14.25">
      <c r="A6" s="24"/>
      <c r="B6" s="24"/>
      <c r="C6" s="27" t="s">
        <v>55</v>
      </c>
      <c r="D6" s="27">
        <v>2004</v>
      </c>
      <c r="E6" s="27" t="s">
        <v>56</v>
      </c>
      <c r="F6" s="27" t="s">
        <v>56</v>
      </c>
      <c r="G6" s="27" t="s">
        <v>59</v>
      </c>
      <c r="H6" s="27" t="s">
        <v>72</v>
      </c>
      <c r="I6" s="27" t="s">
        <v>115</v>
      </c>
      <c r="J6" s="27" t="s">
        <v>102</v>
      </c>
      <c r="K6" s="27"/>
      <c r="L6" s="27" t="s">
        <v>74</v>
      </c>
      <c r="M6" s="27" t="s">
        <v>52</v>
      </c>
      <c r="N6" s="24"/>
      <c r="O6" s="24"/>
      <c r="P6" s="24"/>
    </row>
    <row r="7" spans="1:16" ht="14.25" customHeight="1">
      <c r="A7" s="1" t="s">
        <v>0</v>
      </c>
      <c r="B7" s="1" t="s">
        <v>1</v>
      </c>
      <c r="C7" s="18" t="s">
        <v>51</v>
      </c>
      <c r="D7" s="43" t="s">
        <v>71</v>
      </c>
      <c r="E7" s="44" t="s">
        <v>57</v>
      </c>
      <c r="F7" s="44" t="s">
        <v>58</v>
      </c>
      <c r="G7" s="45" t="s">
        <v>58</v>
      </c>
      <c r="H7" s="44" t="s">
        <v>14</v>
      </c>
      <c r="I7" s="44" t="s">
        <v>116</v>
      </c>
      <c r="J7" s="44" t="s">
        <v>97</v>
      </c>
      <c r="K7" s="44" t="s">
        <v>73</v>
      </c>
      <c r="L7" s="44" t="s">
        <v>75</v>
      </c>
      <c r="M7" s="28" t="s">
        <v>51</v>
      </c>
      <c r="N7" s="24"/>
      <c r="O7" s="24"/>
      <c r="P7" s="24"/>
    </row>
    <row r="8" spans="1:16" ht="14.25">
      <c r="A8" s="25">
        <v>1</v>
      </c>
      <c r="B8" s="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>
      <c r="A9" s="25">
        <v>2</v>
      </c>
      <c r="B9" s="24" t="s">
        <v>3</v>
      </c>
      <c r="C9" s="29">
        <v>123506364</v>
      </c>
      <c r="D9" s="29"/>
      <c r="E9" s="24"/>
      <c r="F9" s="24"/>
      <c r="G9" s="24"/>
      <c r="H9" s="24"/>
      <c r="I9" s="24"/>
      <c r="J9" s="24"/>
      <c r="K9" s="24"/>
      <c r="L9" s="30">
        <f>SUM(D9:K9)</f>
        <v>0</v>
      </c>
      <c r="M9" s="30">
        <f>L9+C9</f>
        <v>123506364</v>
      </c>
      <c r="N9" s="24"/>
      <c r="O9" s="24"/>
      <c r="P9" s="24"/>
    </row>
    <row r="10" spans="1:16" ht="14.25">
      <c r="A10" s="25">
        <v>4</v>
      </c>
      <c r="B10" s="24" t="s">
        <v>4</v>
      </c>
      <c r="C10" s="38">
        <v>924062</v>
      </c>
      <c r="D10" s="32"/>
      <c r="E10" s="33"/>
      <c r="F10" s="33"/>
      <c r="G10" s="33"/>
      <c r="H10" s="33"/>
      <c r="I10" s="33"/>
      <c r="J10" s="33"/>
      <c r="K10" s="33"/>
      <c r="L10" s="31">
        <f>SUM(D10:K10)</f>
        <v>0</v>
      </c>
      <c r="M10" s="31">
        <f>L10+C10</f>
        <v>924062</v>
      </c>
      <c r="N10" s="24"/>
      <c r="O10" s="24"/>
      <c r="P10" s="24"/>
    </row>
    <row r="11" spans="1:16" ht="14.25">
      <c r="A11" s="25">
        <v>5</v>
      </c>
      <c r="B11" s="24" t="s">
        <v>5</v>
      </c>
      <c r="C11" s="34">
        <f>+C10+C9</f>
        <v>124430426</v>
      </c>
      <c r="D11" s="34">
        <f aca="true" t="shared" si="0" ref="D11:L11">+D10+D9</f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/>
      <c r="J11" s="34"/>
      <c r="K11" s="34">
        <f t="shared" si="0"/>
        <v>0</v>
      </c>
      <c r="L11" s="34">
        <f t="shared" si="0"/>
        <v>0</v>
      </c>
      <c r="M11" s="34">
        <f>+M9+M10</f>
        <v>124430426</v>
      </c>
      <c r="N11" s="24"/>
      <c r="O11" s="24"/>
      <c r="P11" s="24"/>
    </row>
    <row r="12" spans="1:16" ht="14.25">
      <c r="A12" s="25"/>
      <c r="B12" s="24"/>
      <c r="C12" s="30"/>
      <c r="D12" s="24"/>
      <c r="E12" s="24"/>
      <c r="F12" s="24"/>
      <c r="G12" s="24"/>
      <c r="H12" s="24"/>
      <c r="I12" s="24"/>
      <c r="J12" s="24"/>
      <c r="K12" s="24"/>
      <c r="L12" s="24"/>
      <c r="M12" s="31"/>
      <c r="N12" s="24"/>
      <c r="O12" s="24"/>
      <c r="P12" s="24"/>
    </row>
    <row r="13" spans="1:16" ht="14.25">
      <c r="A13" s="25">
        <v>6</v>
      </c>
      <c r="B13" s="5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1"/>
      <c r="N13" s="24"/>
      <c r="O13" s="24"/>
      <c r="P13" s="24"/>
    </row>
    <row r="14" spans="1:16" ht="14.25">
      <c r="A14" s="25">
        <v>7</v>
      </c>
      <c r="B14" s="24" t="s">
        <v>109</v>
      </c>
      <c r="C14" s="31">
        <f>76719928</f>
        <v>76719928</v>
      </c>
      <c r="D14" s="39">
        <v>-250000</v>
      </c>
      <c r="E14" s="40">
        <v>-1204903</v>
      </c>
      <c r="F14" s="40"/>
      <c r="G14" s="40"/>
      <c r="H14" s="40"/>
      <c r="I14" s="40"/>
      <c r="J14" s="40"/>
      <c r="K14" s="40"/>
      <c r="L14" s="39">
        <f aca="true" t="shared" si="1" ref="L14:L24">SUM(D14:K14)</f>
        <v>-1454903</v>
      </c>
      <c r="M14" s="31">
        <f aca="true" t="shared" si="2" ref="M14:M24">L14+C14</f>
        <v>75265025</v>
      </c>
      <c r="N14" s="24"/>
      <c r="O14" s="24"/>
      <c r="P14" s="24"/>
    </row>
    <row r="15" spans="1:16" ht="14.25">
      <c r="A15" s="25">
        <v>8</v>
      </c>
      <c r="B15" s="24" t="s">
        <v>110</v>
      </c>
      <c r="C15" s="31">
        <f>3983267</f>
        <v>3983267</v>
      </c>
      <c r="D15" s="39"/>
      <c r="E15" s="40"/>
      <c r="F15" s="40">
        <v>-200487</v>
      </c>
      <c r="G15" s="40">
        <v>-114167</v>
      </c>
      <c r="H15" s="40"/>
      <c r="I15" s="40"/>
      <c r="J15" s="40"/>
      <c r="K15" s="40"/>
      <c r="L15" s="39">
        <f t="shared" si="1"/>
        <v>-314654</v>
      </c>
      <c r="M15" s="31">
        <f t="shared" si="2"/>
        <v>3668613</v>
      </c>
      <c r="N15" s="24"/>
      <c r="O15" s="24"/>
      <c r="P15" s="24"/>
    </row>
    <row r="16" spans="1:16" ht="14.25">
      <c r="A16" s="25">
        <v>9</v>
      </c>
      <c r="B16" s="24" t="s">
        <v>111</v>
      </c>
      <c r="C16" s="31">
        <f>6358737</f>
        <v>6358737</v>
      </c>
      <c r="D16" s="39"/>
      <c r="E16" s="40"/>
      <c r="F16" s="40"/>
      <c r="G16" s="40"/>
      <c r="H16" s="40"/>
      <c r="I16" s="40"/>
      <c r="J16" s="40"/>
      <c r="K16" s="40"/>
      <c r="L16" s="39">
        <f t="shared" si="1"/>
        <v>0</v>
      </c>
      <c r="M16" s="31">
        <f t="shared" si="2"/>
        <v>6358737</v>
      </c>
      <c r="N16" s="24"/>
      <c r="O16" s="24"/>
      <c r="P16" s="24"/>
    </row>
    <row r="17" spans="1:16" ht="14.25">
      <c r="A17" s="25">
        <v>10</v>
      </c>
      <c r="B17" s="24" t="s">
        <v>112</v>
      </c>
      <c r="C17" s="31">
        <f>6030311</f>
        <v>6030311</v>
      </c>
      <c r="D17" s="39"/>
      <c r="E17" s="40"/>
      <c r="F17" s="40"/>
      <c r="G17" s="40"/>
      <c r="H17" s="40"/>
      <c r="I17" s="40"/>
      <c r="J17" s="40"/>
      <c r="K17" s="40"/>
      <c r="L17" s="39">
        <f t="shared" si="1"/>
        <v>0</v>
      </c>
      <c r="M17" s="31">
        <f t="shared" si="2"/>
        <v>6030311</v>
      </c>
      <c r="N17" s="24"/>
      <c r="O17" s="24"/>
      <c r="P17" s="24"/>
    </row>
    <row r="18" spans="1:16" ht="14.25">
      <c r="A18" s="25">
        <v>11</v>
      </c>
      <c r="B18" s="24" t="s">
        <v>113</v>
      </c>
      <c r="C18" s="31">
        <f>3206184</f>
        <v>3206184</v>
      </c>
      <c r="D18" s="39"/>
      <c r="E18" s="40"/>
      <c r="F18" s="40"/>
      <c r="G18" s="40"/>
      <c r="H18" s="40"/>
      <c r="I18" s="40"/>
      <c r="J18" s="40"/>
      <c r="K18" s="40"/>
      <c r="L18" s="39">
        <f t="shared" si="1"/>
        <v>0</v>
      </c>
      <c r="M18" s="31">
        <f t="shared" si="2"/>
        <v>3206184</v>
      </c>
      <c r="N18" s="24"/>
      <c r="O18" s="24"/>
      <c r="P18" s="24"/>
    </row>
    <row r="19" spans="1:16" ht="14.25">
      <c r="A19" s="25">
        <v>12</v>
      </c>
      <c r="B19" s="24" t="s">
        <v>114</v>
      </c>
      <c r="C19" s="31">
        <f>11218400</f>
        <v>11218400</v>
      </c>
      <c r="D19" s="39"/>
      <c r="E19" s="40"/>
      <c r="F19" s="40"/>
      <c r="G19" s="40"/>
      <c r="H19" s="40">
        <v>-15987</v>
      </c>
      <c r="I19" s="40">
        <v>19466.5</v>
      </c>
      <c r="J19" s="40"/>
      <c r="K19" s="40"/>
      <c r="L19" s="39">
        <f t="shared" si="1"/>
        <v>3479.5</v>
      </c>
      <c r="M19" s="31">
        <f t="shared" si="2"/>
        <v>11221879.5</v>
      </c>
      <c r="N19" s="24"/>
      <c r="O19" s="24"/>
      <c r="P19" s="24"/>
    </row>
    <row r="20" spans="1:16" ht="14.25">
      <c r="A20" s="25">
        <v>14</v>
      </c>
      <c r="B20" s="24" t="s">
        <v>7</v>
      </c>
      <c r="C20" s="31">
        <v>9590460</v>
      </c>
      <c r="D20" s="39"/>
      <c r="E20" s="40"/>
      <c r="F20" s="40"/>
      <c r="G20" s="40"/>
      <c r="H20" s="40"/>
      <c r="I20" s="40"/>
      <c r="J20" s="40"/>
      <c r="K20" s="40"/>
      <c r="L20" s="39">
        <f t="shared" si="1"/>
        <v>0</v>
      </c>
      <c r="M20" s="31">
        <f t="shared" si="2"/>
        <v>9590460</v>
      </c>
      <c r="N20" s="24"/>
      <c r="O20" s="24"/>
      <c r="P20" s="24"/>
    </row>
    <row r="21" spans="1:16" ht="14.25">
      <c r="A21" s="25">
        <v>15</v>
      </c>
      <c r="B21" s="24" t="s">
        <v>8</v>
      </c>
      <c r="C21" s="31">
        <v>2873437.9699</v>
      </c>
      <c r="D21" s="39"/>
      <c r="E21" s="40"/>
      <c r="F21" s="40"/>
      <c r="G21" s="40"/>
      <c r="H21" s="40"/>
      <c r="I21" s="40"/>
      <c r="J21" s="40"/>
      <c r="K21" s="40"/>
      <c r="L21" s="39">
        <f t="shared" si="1"/>
        <v>0</v>
      </c>
      <c r="M21" s="31">
        <f t="shared" si="2"/>
        <v>2873437.9699</v>
      </c>
      <c r="N21" s="24"/>
      <c r="O21" s="24"/>
      <c r="P21" s="24"/>
    </row>
    <row r="22" spans="1:16" ht="14.25">
      <c r="A22" s="25">
        <v>16</v>
      </c>
      <c r="B22" s="24" t="s">
        <v>9</v>
      </c>
      <c r="C22" s="31"/>
      <c r="D22" s="39"/>
      <c r="E22" s="40"/>
      <c r="F22" s="40"/>
      <c r="G22" s="40"/>
      <c r="H22" s="40"/>
      <c r="I22" s="40"/>
      <c r="J22" s="40"/>
      <c r="K22" s="40"/>
      <c r="L22" s="39">
        <f t="shared" si="1"/>
        <v>0</v>
      </c>
      <c r="M22" s="31">
        <f t="shared" si="2"/>
        <v>0</v>
      </c>
      <c r="N22" s="24"/>
      <c r="O22" s="24"/>
      <c r="P22" s="24"/>
    </row>
    <row r="23" spans="1:16" ht="14.25">
      <c r="A23" s="25">
        <v>17</v>
      </c>
      <c r="B23" s="24" t="s">
        <v>10</v>
      </c>
      <c r="C23" s="31">
        <f>1006374+139592</f>
        <v>1145966</v>
      </c>
      <c r="D23" s="39"/>
      <c r="E23" s="40"/>
      <c r="F23" s="40"/>
      <c r="G23" s="40"/>
      <c r="H23" s="40"/>
      <c r="I23" s="40"/>
      <c r="J23" s="40">
        <f>Capital!E21</f>
        <v>142127.09969299115</v>
      </c>
      <c r="K23" s="39">
        <f>0.380095*(-D26-E26-F26-G26-H26+I19)</f>
        <v>686075.4659975</v>
      </c>
      <c r="L23" s="39">
        <f t="shared" si="1"/>
        <v>828202.5656904911</v>
      </c>
      <c r="M23" s="31">
        <f t="shared" si="2"/>
        <v>1974168.565690491</v>
      </c>
      <c r="N23" s="24"/>
      <c r="O23" s="24"/>
      <c r="P23" s="24"/>
    </row>
    <row r="24" spans="1:16" ht="14.25">
      <c r="A24" s="25">
        <v>18</v>
      </c>
      <c r="B24" s="24" t="s">
        <v>11</v>
      </c>
      <c r="C24" s="31">
        <v>-1410433.3402049998</v>
      </c>
      <c r="D24" s="39"/>
      <c r="E24" s="40"/>
      <c r="F24" s="40"/>
      <c r="G24" s="40"/>
      <c r="H24" s="40"/>
      <c r="I24" s="40"/>
      <c r="J24" s="40"/>
      <c r="K24" s="40"/>
      <c r="L24" s="39">
        <f t="shared" si="1"/>
        <v>0</v>
      </c>
      <c r="M24" s="31">
        <f t="shared" si="2"/>
        <v>-1410433.3402049998</v>
      </c>
      <c r="N24" s="24"/>
      <c r="O24" s="24"/>
      <c r="P24" s="24"/>
    </row>
    <row r="25" spans="1:16" ht="14.25">
      <c r="A25" s="25"/>
      <c r="B25" s="24"/>
      <c r="C25" s="31"/>
      <c r="D25" s="39"/>
      <c r="E25" s="40"/>
      <c r="F25" s="40"/>
      <c r="G25" s="40"/>
      <c r="H25" s="40"/>
      <c r="I25" s="40"/>
      <c r="J25" s="40"/>
      <c r="K25" s="40"/>
      <c r="L25" s="40"/>
      <c r="M25" s="31"/>
      <c r="N25" s="24"/>
      <c r="O25" s="24"/>
      <c r="P25" s="24"/>
    </row>
    <row r="26" spans="1:16" ht="14.25">
      <c r="A26" s="25">
        <v>20</v>
      </c>
      <c r="B26" s="24" t="s">
        <v>12</v>
      </c>
      <c r="C26" s="35">
        <v>119716257.49668553</v>
      </c>
      <c r="D26" s="41">
        <f aca="true" t="shared" si="3" ref="D26:M26">SUM(D14:D24)</f>
        <v>-250000</v>
      </c>
      <c r="E26" s="41">
        <f t="shared" si="3"/>
        <v>-1204903</v>
      </c>
      <c r="F26" s="41">
        <f t="shared" si="3"/>
        <v>-200487</v>
      </c>
      <c r="G26" s="41">
        <f t="shared" si="3"/>
        <v>-114167</v>
      </c>
      <c r="H26" s="41">
        <f t="shared" si="3"/>
        <v>-15987</v>
      </c>
      <c r="I26" s="41">
        <f t="shared" si="3"/>
        <v>19466.5</v>
      </c>
      <c r="J26" s="41">
        <f>SUM(J14:J24)</f>
        <v>142127.09969299115</v>
      </c>
      <c r="K26" s="41">
        <f t="shared" si="3"/>
        <v>686075.4659975</v>
      </c>
      <c r="L26" s="41">
        <f t="shared" si="3"/>
        <v>-937874.9343095089</v>
      </c>
      <c r="M26" s="36">
        <f t="shared" si="3"/>
        <v>118778382.69538549</v>
      </c>
      <c r="N26" s="24"/>
      <c r="O26" s="24"/>
      <c r="P26" s="24"/>
    </row>
    <row r="27" spans="1:16" ht="15" thickBot="1">
      <c r="A27" s="25">
        <v>21</v>
      </c>
      <c r="B27" s="24" t="s">
        <v>13</v>
      </c>
      <c r="C27" s="37">
        <v>4714168.503314465</v>
      </c>
      <c r="D27" s="32"/>
      <c r="E27" s="24"/>
      <c r="F27" s="24"/>
      <c r="G27" s="24"/>
      <c r="H27" s="24"/>
      <c r="I27" s="24"/>
      <c r="J27" s="24"/>
      <c r="K27" s="24"/>
      <c r="L27" s="24"/>
      <c r="M27" s="48">
        <f>M11-M26</f>
        <v>5652043.304614514</v>
      </c>
      <c r="N27" s="24"/>
      <c r="O27" s="24"/>
      <c r="P27" s="24"/>
    </row>
    <row r="28" spans="1:16" ht="15" thickTop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</sheetData>
  <printOptions horizontalCentered="1"/>
  <pageMargins left="0.5" right="0.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B1">
      <selection activeCell="B1" sqref="B1:C4"/>
    </sheetView>
  </sheetViews>
  <sheetFormatPr defaultColWidth="9.00390625" defaultRowHeight="14.25"/>
  <cols>
    <col min="1" max="1" width="5.375" style="6" customWidth="1"/>
    <col min="2" max="2" width="43.50390625" style="6" bestFit="1" customWidth="1"/>
    <col min="3" max="3" width="12.375" style="6" bestFit="1" customWidth="1"/>
    <col min="4" max="4" width="15.75390625" style="6" bestFit="1" customWidth="1"/>
    <col min="5" max="5" width="12.75390625" style="6" bestFit="1" customWidth="1"/>
    <col min="6" max="7" width="14.375" style="6" bestFit="1" customWidth="1"/>
    <col min="8" max="8" width="15.125" style="6" customWidth="1"/>
    <col min="9" max="16384" width="9.00390625" style="6" customWidth="1"/>
  </cols>
  <sheetData>
    <row r="1" spans="2:7" ht="14.25">
      <c r="B1" s="54" t="s">
        <v>48</v>
      </c>
      <c r="C1" s="54"/>
      <c r="G1" s="8" t="s">
        <v>87</v>
      </c>
    </row>
    <row r="2" spans="2:7" ht="14.25">
      <c r="B2" s="54" t="s">
        <v>91</v>
      </c>
      <c r="C2" s="54"/>
      <c r="G2" s="8" t="s">
        <v>88</v>
      </c>
    </row>
    <row r="3" spans="2:7" ht="14.25">
      <c r="B3" s="54" t="s">
        <v>49</v>
      </c>
      <c r="C3" s="54"/>
      <c r="G3" s="8" t="s">
        <v>93</v>
      </c>
    </row>
    <row r="4" spans="2:3" ht="14.25">
      <c r="B4" s="54" t="s">
        <v>92</v>
      </c>
      <c r="C4" s="54"/>
    </row>
    <row r="6" ht="15" customHeight="1"/>
    <row r="7" spans="1:8" ht="12.75" customHeight="1">
      <c r="A7" s="8" t="s">
        <v>78</v>
      </c>
      <c r="D7" s="7" t="s">
        <v>50</v>
      </c>
      <c r="E7"/>
      <c r="F7"/>
      <c r="G7"/>
      <c r="H7" s="14" t="s">
        <v>53</v>
      </c>
    </row>
    <row r="8" spans="1:8" ht="14.25" customHeight="1">
      <c r="A8" s="13" t="s">
        <v>79</v>
      </c>
      <c r="B8" s="42" t="s">
        <v>1</v>
      </c>
      <c r="C8" s="42" t="s">
        <v>22</v>
      </c>
      <c r="D8" s="15" t="s">
        <v>51</v>
      </c>
      <c r="E8" s="16" t="s">
        <v>46</v>
      </c>
      <c r="F8" s="16" t="s">
        <v>90</v>
      </c>
      <c r="G8" s="16" t="s">
        <v>47</v>
      </c>
      <c r="H8" s="15" t="s">
        <v>52</v>
      </c>
    </row>
    <row r="9" spans="1:2" ht="14.25" customHeight="1">
      <c r="A9" s="8">
        <v>1</v>
      </c>
      <c r="B9" s="6" t="s">
        <v>23</v>
      </c>
    </row>
    <row r="10" spans="1:8" ht="14.25">
      <c r="A10" s="8">
        <v>2</v>
      </c>
      <c r="B10" s="6" t="s">
        <v>15</v>
      </c>
      <c r="C10" s="6" t="s">
        <v>24</v>
      </c>
      <c r="D10" s="4">
        <v>200900</v>
      </c>
      <c r="E10" s="4"/>
      <c r="F10" s="4"/>
      <c r="G10" s="4"/>
      <c r="H10" s="4">
        <f>SUM(D10:G10)</f>
        <v>200900</v>
      </c>
    </row>
    <row r="11" spans="1:8" ht="14.25">
      <c r="A11" s="8">
        <v>3</v>
      </c>
      <c r="B11" s="6" t="s">
        <v>16</v>
      </c>
      <c r="C11" s="6" t="s">
        <v>24</v>
      </c>
      <c r="D11" s="6">
        <v>30275139</v>
      </c>
      <c r="H11" s="6">
        <f aca="true" t="shared" si="0" ref="H11:H39">SUM(D11:G11)</f>
        <v>30275139</v>
      </c>
    </row>
    <row r="12" spans="1:8" ht="14.25">
      <c r="A12" s="8">
        <v>4</v>
      </c>
      <c r="B12" s="6" t="s">
        <v>17</v>
      </c>
      <c r="C12" s="6" t="s">
        <v>24</v>
      </c>
      <c r="D12" s="6">
        <v>39337093</v>
      </c>
      <c r="H12" s="6">
        <f t="shared" si="0"/>
        <v>39337093</v>
      </c>
    </row>
    <row r="13" spans="1:8" ht="14.25">
      <c r="A13" s="8">
        <v>5</v>
      </c>
      <c r="B13" s="6" t="s">
        <v>18</v>
      </c>
      <c r="C13" s="6" t="s">
        <v>24</v>
      </c>
      <c r="D13" s="6">
        <v>144376374</v>
      </c>
      <c r="H13" s="6">
        <f t="shared" si="0"/>
        <v>144376374</v>
      </c>
    </row>
    <row r="14" spans="1:8" ht="14.25">
      <c r="A14" s="8">
        <v>6</v>
      </c>
      <c r="B14" s="6" t="s">
        <v>19</v>
      </c>
      <c r="C14" s="6" t="s">
        <v>24</v>
      </c>
      <c r="D14" s="6">
        <v>14401712</v>
      </c>
      <c r="H14" s="6">
        <f t="shared" si="0"/>
        <v>14401712</v>
      </c>
    </row>
    <row r="15" spans="1:8" ht="14.25">
      <c r="A15" s="8">
        <v>7</v>
      </c>
      <c r="B15" s="9" t="s">
        <v>25</v>
      </c>
      <c r="C15" s="9" t="s">
        <v>24</v>
      </c>
      <c r="D15" s="9">
        <v>16493847</v>
      </c>
      <c r="E15" s="9"/>
      <c r="F15" s="9"/>
      <c r="G15" s="9"/>
      <c r="H15" s="9">
        <f t="shared" si="0"/>
        <v>16493847</v>
      </c>
    </row>
    <row r="16" spans="1:8" ht="14.25">
      <c r="A16" s="8">
        <v>8</v>
      </c>
      <c r="B16" s="6" t="s">
        <v>20</v>
      </c>
      <c r="D16" s="6">
        <v>245085065</v>
      </c>
      <c r="H16" s="6">
        <f t="shared" si="0"/>
        <v>245085065</v>
      </c>
    </row>
    <row r="17" ht="14.25">
      <c r="A17" s="8"/>
    </row>
    <row r="18" spans="1:8" ht="14.25">
      <c r="A18" s="8">
        <v>9</v>
      </c>
      <c r="B18" s="6" t="s">
        <v>21</v>
      </c>
      <c r="C18" s="6" t="s">
        <v>24</v>
      </c>
      <c r="D18" s="6">
        <v>0</v>
      </c>
      <c r="H18" s="6">
        <f t="shared" si="0"/>
        <v>0</v>
      </c>
    </row>
    <row r="19" spans="1:8" ht="14.25">
      <c r="A19" s="8">
        <v>10</v>
      </c>
      <c r="B19" s="9" t="s">
        <v>26</v>
      </c>
      <c r="C19" s="9" t="s">
        <v>24</v>
      </c>
      <c r="D19" s="9">
        <v>0</v>
      </c>
      <c r="E19" s="9"/>
      <c r="F19" s="9"/>
      <c r="G19" s="9"/>
      <c r="H19" s="9">
        <f t="shared" si="0"/>
        <v>0</v>
      </c>
    </row>
    <row r="20" spans="1:8" ht="14.25">
      <c r="A20" s="8">
        <v>11</v>
      </c>
      <c r="B20" s="6" t="s">
        <v>27</v>
      </c>
      <c r="D20" s="6">
        <v>245085065</v>
      </c>
      <c r="H20" s="6">
        <f t="shared" si="0"/>
        <v>245085065</v>
      </c>
    </row>
    <row r="21" spans="1:8" ht="14.25">
      <c r="A21" s="8"/>
      <c r="H21" s="6">
        <f t="shared" si="0"/>
        <v>0</v>
      </c>
    </row>
    <row r="22" spans="1:8" ht="14.25">
      <c r="A22" s="8">
        <v>12</v>
      </c>
      <c r="B22" s="6" t="s">
        <v>28</v>
      </c>
      <c r="H22" s="6">
        <f t="shared" si="0"/>
        <v>0</v>
      </c>
    </row>
    <row r="23" spans="1:8" ht="14.25">
      <c r="A23" s="8">
        <v>13</v>
      </c>
      <c r="B23" s="6" t="s">
        <v>29</v>
      </c>
      <c r="C23" s="6" t="s">
        <v>30</v>
      </c>
      <c r="D23" s="6">
        <v>120186859</v>
      </c>
      <c r="H23" s="6">
        <f t="shared" si="0"/>
        <v>120186859</v>
      </c>
    </row>
    <row r="24" spans="1:8" ht="14.25">
      <c r="A24" s="8">
        <v>14</v>
      </c>
      <c r="B24" s="6" t="s">
        <v>31</v>
      </c>
      <c r="C24" s="6" t="s">
        <v>30</v>
      </c>
      <c r="D24" s="6">
        <v>93710</v>
      </c>
      <c r="H24" s="6">
        <f t="shared" si="0"/>
        <v>93710</v>
      </c>
    </row>
    <row r="25" spans="1:8" ht="14.25">
      <c r="A25" s="8">
        <v>15</v>
      </c>
      <c r="B25" s="9" t="s">
        <v>32</v>
      </c>
      <c r="C25" s="9" t="s">
        <v>30</v>
      </c>
      <c r="D25" s="9">
        <v>0</v>
      </c>
      <c r="E25" s="9"/>
      <c r="F25" s="9"/>
      <c r="G25" s="9"/>
      <c r="H25" s="9">
        <f t="shared" si="0"/>
        <v>0</v>
      </c>
    </row>
    <row r="26" spans="1:8" ht="14.25">
      <c r="A26" s="8">
        <v>16</v>
      </c>
      <c r="B26" s="10" t="s">
        <v>33</v>
      </c>
      <c r="C26" s="10"/>
      <c r="D26" s="10">
        <v>120280569</v>
      </c>
      <c r="E26" s="10"/>
      <c r="F26" s="10"/>
      <c r="G26" s="10"/>
      <c r="H26" s="10">
        <f t="shared" si="0"/>
        <v>120280569</v>
      </c>
    </row>
    <row r="27" spans="1:8" ht="14.25">
      <c r="A27" s="8">
        <v>17</v>
      </c>
      <c r="B27" s="6" t="s">
        <v>34</v>
      </c>
      <c r="D27" s="6">
        <v>124804496</v>
      </c>
      <c r="H27" s="6">
        <f t="shared" si="0"/>
        <v>124804496</v>
      </c>
    </row>
    <row r="28" spans="1:8" ht="14.25">
      <c r="A28" s="8"/>
      <c r="H28" s="6">
        <f t="shared" si="0"/>
        <v>0</v>
      </c>
    </row>
    <row r="29" spans="1:8" ht="14.25">
      <c r="A29" s="8">
        <v>18</v>
      </c>
      <c r="B29" s="6" t="s">
        <v>35</v>
      </c>
      <c r="H29" s="6">
        <f t="shared" si="0"/>
        <v>0</v>
      </c>
    </row>
    <row r="30" spans="1:8" ht="14.25">
      <c r="A30" s="8">
        <v>19</v>
      </c>
      <c r="B30" s="6" t="s">
        <v>36</v>
      </c>
      <c r="C30" s="6" t="s">
        <v>37</v>
      </c>
      <c r="D30" s="46">
        <v>662571.25</v>
      </c>
      <c r="E30" s="46"/>
      <c r="F30" s="46"/>
      <c r="G30" s="46"/>
      <c r="H30" s="46">
        <f t="shared" si="0"/>
        <v>662571.25</v>
      </c>
    </row>
    <row r="31" spans="1:8" ht="14.25">
      <c r="A31" s="8">
        <v>20</v>
      </c>
      <c r="B31" s="6" t="s">
        <v>38</v>
      </c>
      <c r="C31" s="6" t="s">
        <v>37</v>
      </c>
      <c r="D31" s="46">
        <v>861015.1666666666</v>
      </c>
      <c r="E31" s="46"/>
      <c r="F31" s="46"/>
      <c r="G31" s="46"/>
      <c r="H31" s="46">
        <f t="shared" si="0"/>
        <v>861015.1666666666</v>
      </c>
    </row>
    <row r="32" spans="1:8" ht="14.25">
      <c r="A32" s="8">
        <v>21</v>
      </c>
      <c r="B32" s="6" t="s">
        <v>39</v>
      </c>
      <c r="C32" s="6" t="s">
        <v>37</v>
      </c>
      <c r="D32" s="46">
        <v>8988947.416666666</v>
      </c>
      <c r="E32" s="46">
        <v>-271277</v>
      </c>
      <c r="F32" s="46"/>
      <c r="G32" s="46"/>
      <c r="H32" s="46">
        <f t="shared" si="0"/>
        <v>8717670.416666666</v>
      </c>
    </row>
    <row r="33" spans="1:8" ht="14.25">
      <c r="A33" s="8">
        <v>22</v>
      </c>
      <c r="B33" s="6" t="s">
        <v>40</v>
      </c>
      <c r="C33" s="6" t="s">
        <v>37</v>
      </c>
      <c r="D33" s="46">
        <v>-5115656.75</v>
      </c>
      <c r="E33" s="46"/>
      <c r="F33" s="46"/>
      <c r="G33" s="46"/>
      <c r="H33" s="46">
        <f t="shared" si="0"/>
        <v>-5115656.75</v>
      </c>
    </row>
    <row r="34" spans="1:8" ht="14.25">
      <c r="A34" s="8">
        <v>23</v>
      </c>
      <c r="B34" s="6" t="s">
        <v>41</v>
      </c>
      <c r="C34" s="6" t="s">
        <v>37</v>
      </c>
      <c r="D34" s="46">
        <v>3742094</v>
      </c>
      <c r="E34" s="46"/>
      <c r="F34" s="46">
        <v>-4068427</v>
      </c>
      <c r="G34" s="46"/>
      <c r="H34" s="46">
        <f t="shared" si="0"/>
        <v>-326333</v>
      </c>
    </row>
    <row r="35" spans="1:8" ht="14.25">
      <c r="A35" s="8">
        <v>24</v>
      </c>
      <c r="B35" s="6" t="s">
        <v>42</v>
      </c>
      <c r="C35" s="6" t="s">
        <v>37</v>
      </c>
      <c r="D35" s="46">
        <v>-3971208</v>
      </c>
      <c r="E35" s="46"/>
      <c r="F35" s="46"/>
      <c r="G35" s="46">
        <v>-2780465</v>
      </c>
      <c r="H35" s="46">
        <f t="shared" si="0"/>
        <v>-6751673</v>
      </c>
    </row>
    <row r="36" spans="1:8" ht="14.25">
      <c r="A36" s="8">
        <v>25</v>
      </c>
      <c r="B36" s="9" t="s">
        <v>43</v>
      </c>
      <c r="C36" s="9" t="s">
        <v>37</v>
      </c>
      <c r="D36" s="47">
        <v>-362838</v>
      </c>
      <c r="E36" s="47"/>
      <c r="F36" s="47"/>
      <c r="G36" s="47"/>
      <c r="H36" s="47">
        <f t="shared" si="0"/>
        <v>-362838</v>
      </c>
    </row>
    <row r="37" spans="1:8" ht="14.25">
      <c r="A37" s="8">
        <v>26</v>
      </c>
      <c r="B37" s="6" t="s">
        <v>44</v>
      </c>
      <c r="D37" s="46">
        <v>4804925.083333332</v>
      </c>
      <c r="E37" s="46">
        <f>SUM(E30:E36)</f>
        <v>-271277</v>
      </c>
      <c r="F37" s="46">
        <f>SUM(F30:F36)</f>
        <v>-4068427</v>
      </c>
      <c r="G37" s="46">
        <f>SUM(G30:G36)</f>
        <v>-2780465</v>
      </c>
      <c r="H37" s="46">
        <f t="shared" si="0"/>
        <v>-2315243.916666668</v>
      </c>
    </row>
    <row r="38" ht="14.25">
      <c r="A38" s="8"/>
    </row>
    <row r="39" spans="1:8" ht="15" thickBot="1">
      <c r="A39" s="8">
        <v>27</v>
      </c>
      <c r="B39" s="11" t="s">
        <v>45</v>
      </c>
      <c r="C39" s="11"/>
      <c r="D39" s="17">
        <v>129609421.08333333</v>
      </c>
      <c r="E39" s="17">
        <f>SUM(E9:E36)</f>
        <v>-271277</v>
      </c>
      <c r="F39" s="17">
        <f>SUM(F9:F36)</f>
        <v>-4068427</v>
      </c>
      <c r="G39" s="17">
        <f>SUM(G9:G36)</f>
        <v>-2780465</v>
      </c>
      <c r="H39" s="17">
        <f t="shared" si="0"/>
        <v>122489252.08333333</v>
      </c>
    </row>
    <row r="40" ht="15" thickTop="1"/>
  </sheetData>
  <mergeCells count="4">
    <mergeCell ref="B1:C1"/>
    <mergeCell ref="B2:C2"/>
    <mergeCell ref="B3:C3"/>
    <mergeCell ref="B4:C4"/>
  </mergeCells>
  <printOptions horizontalCentered="1"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4.25"/>
  <cols>
    <col min="1" max="1" width="4.00390625" style="0" customWidth="1"/>
    <col min="2" max="2" width="18.125" style="0" customWidth="1"/>
    <col min="3" max="5" width="12.625" style="0" customWidth="1"/>
  </cols>
  <sheetData>
    <row r="1" spans="2:6" ht="14.25">
      <c r="B1" s="54" t="s">
        <v>48</v>
      </c>
      <c r="C1" s="54"/>
      <c r="D1" s="54"/>
      <c r="F1" s="8" t="s">
        <v>87</v>
      </c>
    </row>
    <row r="2" spans="2:6" ht="14.25">
      <c r="B2" s="54" t="s">
        <v>60</v>
      </c>
      <c r="C2" s="54"/>
      <c r="D2" s="54"/>
      <c r="F2" s="8" t="s">
        <v>88</v>
      </c>
    </row>
    <row r="3" spans="2:6" ht="14.25">
      <c r="B3" s="54" t="s">
        <v>49</v>
      </c>
      <c r="C3" s="54"/>
      <c r="D3" s="54"/>
      <c r="F3" s="8" t="s">
        <v>95</v>
      </c>
    </row>
    <row r="7" spans="1:5" ht="14.25">
      <c r="A7" s="2" t="s">
        <v>61</v>
      </c>
      <c r="D7" s="55" t="s">
        <v>67</v>
      </c>
      <c r="E7" s="55"/>
    </row>
    <row r="8" spans="1:5" ht="14.25">
      <c r="A8" s="19" t="s">
        <v>62</v>
      </c>
      <c r="B8" s="19" t="s">
        <v>63</v>
      </c>
      <c r="C8" s="22" t="s">
        <v>64</v>
      </c>
      <c r="D8" s="22" t="s">
        <v>65</v>
      </c>
      <c r="E8" s="22" t="s">
        <v>66</v>
      </c>
    </row>
    <row r="9" spans="1:5" ht="14.25">
      <c r="A9" s="2">
        <v>1</v>
      </c>
      <c r="B9" t="s">
        <v>68</v>
      </c>
      <c r="C9" s="20">
        <v>0.475</v>
      </c>
      <c r="D9" s="20">
        <v>0.1025</v>
      </c>
      <c r="E9" s="23">
        <f>D9*C9</f>
        <v>0.048687499999999995</v>
      </c>
    </row>
    <row r="10" spans="1:5" ht="14.25">
      <c r="A10" s="2"/>
      <c r="C10" s="20"/>
      <c r="D10" s="20"/>
      <c r="E10" s="23"/>
    </row>
    <row r="11" spans="1:5" ht="14.25">
      <c r="A11" s="2">
        <v>2</v>
      </c>
      <c r="B11" t="s">
        <v>69</v>
      </c>
      <c r="C11" s="20">
        <v>0.525</v>
      </c>
      <c r="D11" s="20">
        <v>0.0742</v>
      </c>
      <c r="E11" s="23">
        <f>D11*C11</f>
        <v>0.038955000000000004</v>
      </c>
    </row>
    <row r="12" spans="1:5" ht="14.25">
      <c r="A12" s="2"/>
      <c r="C12" s="20"/>
      <c r="D12" s="20"/>
      <c r="E12" s="23"/>
    </row>
    <row r="13" spans="1:5" ht="15" thickBot="1">
      <c r="A13" s="2">
        <v>3</v>
      </c>
      <c r="B13" t="s">
        <v>70</v>
      </c>
      <c r="C13" s="21">
        <f>+C11+C9</f>
        <v>1</v>
      </c>
      <c r="E13" s="21">
        <f>+E11+E9</f>
        <v>0.0876425</v>
      </c>
    </row>
    <row r="14" ht="15" thickTop="1"/>
    <row r="15" spans="1:5" ht="14.25">
      <c r="A15" s="2">
        <v>4</v>
      </c>
      <c r="B15" t="s">
        <v>98</v>
      </c>
      <c r="E15" s="4">
        <f>E11*'Rate Base'!H39</f>
        <v>4771568.814906251</v>
      </c>
    </row>
    <row r="17" spans="1:5" ht="14.25">
      <c r="A17" s="2">
        <v>5</v>
      </c>
      <c r="B17" t="s">
        <v>99</v>
      </c>
      <c r="D17" s="50">
        <v>0.0397</v>
      </c>
      <c r="E17" s="51">
        <f>D17*'Rate Base'!D39</f>
        <v>5145494.0170083335</v>
      </c>
    </row>
    <row r="19" spans="1:5" ht="14.25">
      <c r="A19" s="2">
        <v>6</v>
      </c>
      <c r="B19" t="s">
        <v>100</v>
      </c>
      <c r="E19" s="12">
        <f>E15-E17</f>
        <v>-373925.2021020828</v>
      </c>
    </row>
    <row r="20" ht="14.25">
      <c r="A20" s="2"/>
    </row>
    <row r="21" spans="1:5" ht="14.25">
      <c r="A21" s="2">
        <v>7</v>
      </c>
      <c r="B21" t="s">
        <v>101</v>
      </c>
      <c r="E21" s="52">
        <f>0.380095*-E19</f>
        <v>142127.09969299115</v>
      </c>
    </row>
  </sheetData>
  <mergeCells count="4">
    <mergeCell ref="D7:E7"/>
    <mergeCell ref="B1:D1"/>
    <mergeCell ref="B2:D2"/>
    <mergeCell ref="B3:D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UtiliCorp United,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Sterba</dc:creator>
  <cp:keywords/>
  <dc:description/>
  <cp:lastModifiedBy>Lloyd Petersen, WebMeister/Paralegal</cp:lastModifiedBy>
  <cp:lastPrinted>2004-08-31T17:05:35Z</cp:lastPrinted>
  <dcterms:created xsi:type="dcterms:W3CDTF">2004-07-23T19:08:18Z</dcterms:created>
  <dcterms:modified xsi:type="dcterms:W3CDTF">2004-08-31T17:05:39Z</dcterms:modified>
  <cp:category/>
  <cp:version/>
  <cp:contentType/>
  <cp:contentStatus/>
</cp:coreProperties>
</file>